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codeName="ThisWorkbook" defaultThemeVersion="166925"/>
  <mc:AlternateContent xmlns:mc="http://schemas.openxmlformats.org/markup-compatibility/2006">
    <mc:Choice Requires="x15">
      <x15ac:absPath xmlns:x15ac="http://schemas.microsoft.com/office/spreadsheetml/2010/11/ac" url="https://pnnl.sharepoint.com/teams/SCEPSupport/Shared Documents/General/Program Guidance-ALRD2/Summer 2024 Guidance Modification/Supplemental Documents/"/>
    </mc:Choice>
  </mc:AlternateContent>
  <xr:revisionPtr revIDLastSave="34" documentId="8_{CB49EA4B-AA67-4EBF-B81C-55A8183A603A}" xr6:coauthVersionLast="47" xr6:coauthVersionMax="47" xr10:uidLastSave="{5C420419-81B8-43E7-9C8E-6B2A77D46300}"/>
  <bookViews>
    <workbookView xWindow="28680" yWindow="-120" windowWidth="38640" windowHeight="21240" xr2:uid="{013CD791-4D20-44AD-BA7F-AD6F0CB9BA32}"/>
  </bookViews>
  <sheets>
    <sheet name="StartHere" sheetId="6" r:id="rId1"/>
    <sheet name="50121" sheetId="14" r:id="rId2"/>
    <sheet name="50122" sheetId="19" r:id="rId3"/>
    <sheet name="DATAREF_50121" sheetId="2" state="hidden" r:id="rId4"/>
    <sheet name="DATAREF_50122" sheetId="4" state="hidden" r:id="rId5"/>
  </sheets>
  <definedNames>
    <definedName name="EarlyAdmin50121">IF(StartHere!$N$13="Yes", '50121'!$L$17, 0)</definedName>
    <definedName name="EarlyAdmin50122" localSheetId="2">IF(StartHere!$N$13="Yes", '50122'!$L$17, 0)</definedName>
    <definedName name="T1_2">'50122'!$L$26</definedName>
    <definedName name="TotalFunds50121">'50121'!$I$23</definedName>
    <definedName name="TotalFunds50122" localSheetId="2">'50122'!$I$23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9" l="1"/>
  <c r="L85" i="19" s="1"/>
  <c r="I23" i="19" l="1"/>
  <c r="AB10" i="19"/>
  <c r="N50" i="19"/>
  <c r="L87" i="19"/>
  <c r="F15" i="19"/>
  <c r="F52" i="19"/>
  <c r="L89" i="19"/>
  <c r="F33" i="19"/>
  <c r="F69" i="19"/>
  <c r="L69" i="19"/>
  <c r="I2" i="19"/>
  <c r="AB7" i="19"/>
  <c r="N33" i="19"/>
  <c r="F71" i="19"/>
  <c r="AB8" i="19"/>
  <c r="F50" i="19"/>
  <c r="L71" i="19"/>
  <c r="N52" i="19"/>
  <c r="L33" i="19"/>
  <c r="AB9" i="19"/>
  <c r="L50" i="19"/>
  <c r="L82" i="19" l="1"/>
  <c r="L63" i="19"/>
  <c r="L44" i="19"/>
  <c r="L27" i="19" a="1"/>
  <c r="L27" i="19" s="1"/>
  <c r="L80" i="19"/>
  <c r="L42" i="19"/>
  <c r="L61" i="19"/>
  <c r="E3" i="14" l="1"/>
  <c r="I23" i="14" l="1"/>
  <c r="L44" i="14" s="1"/>
  <c r="L87" i="14"/>
  <c r="AB7" i="14"/>
  <c r="AB9" i="14"/>
  <c r="AB8" i="14"/>
  <c r="AB10" i="14"/>
  <c r="F71" i="14"/>
  <c r="F52" i="14"/>
  <c r="I2" i="14"/>
  <c r="F15" i="14"/>
  <c r="F69" i="14"/>
  <c r="N50" i="14"/>
  <c r="L50" i="14"/>
  <c r="F50" i="14"/>
  <c r="L71" i="14"/>
  <c r="N52" i="14"/>
  <c r="L69" i="14"/>
  <c r="F33" i="14"/>
  <c r="L33" i="14"/>
  <c r="L85" i="14"/>
  <c r="N33" i="14"/>
  <c r="L89" i="14"/>
  <c r="L82" i="14" l="1"/>
  <c r="L80" i="14"/>
  <c r="L63" i="14"/>
  <c r="L27" i="14" a="1"/>
  <c r="L27" i="14" s="1"/>
  <c r="L42" i="14"/>
  <c r="L6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040255-5FCC-4337-BA18-CB7AA6BF5248}" keepAlive="1" name="Query - Page001" description="Connection to the 'Page001' query in the workbook." type="5" refreshedVersion="0" background="1" saveData="1">
    <dbPr connection="Provider=Microsoft.Mashup.OleDb.1;Data Source=$Workbook$;Location=Page001;Extended Properties=&quot;&quot;" command="SELECT * FROM [Page00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<sst xmlns="http://schemas.openxmlformats.org/spreadsheetml/2006/main" count="266" uniqueCount="126">
  <si>
    <t>What state/territory is this 
allocation guide for?</t>
  </si>
  <si>
    <t>Select State</t>
  </si>
  <si>
    <r>
      <t xml:space="preserve">Did this state/territory receive early
administrative funds </t>
    </r>
    <r>
      <rPr>
        <sz val="10"/>
        <rFont val="Calibri"/>
        <family val="2"/>
        <scheme val="minor"/>
      </rPr>
      <t>(up to 2.5% of total funding)</t>
    </r>
    <r>
      <rPr>
        <sz val="12"/>
        <rFont val="Calibri"/>
        <family val="2"/>
        <scheme val="minor"/>
      </rPr>
      <t xml:space="preserve">? </t>
    </r>
  </si>
  <si>
    <t>No</t>
  </si>
  <si>
    <t>Which rebate program?</t>
  </si>
  <si>
    <t>Home Efficiency Rebates Program (50121)</t>
  </si>
  <si>
    <r>
      <t xml:space="preserve">Home Efficiency Rebates Program </t>
    </r>
    <r>
      <rPr>
        <sz val="18"/>
        <rFont val="Calibri"/>
        <family val="2"/>
        <scheme val="minor"/>
      </rPr>
      <t xml:space="preserve">(50121) </t>
    </r>
  </si>
  <si>
    <t>Budget Allocation for</t>
  </si>
  <si>
    <t>Enter your current data:</t>
  </si>
  <si>
    <t>% Spent:</t>
  </si>
  <si>
    <t>Funds Spent in Total:</t>
  </si>
  <si>
    <t>Funds Spent on LI Programs:</t>
  </si>
  <si>
    <t>Funds Spent on LI MF Programs:</t>
  </si>
  <si>
    <t>Funds Spent on Program Admin:</t>
  </si>
  <si>
    <t>*Add your current early admin funds spent to the Program Admin funds above</t>
  </si>
  <si>
    <t>*Select your state or territory on the StartHere tab.*</t>
  </si>
  <si>
    <t xml:space="preserve">You did not apply for early administrative funding. Please continue to Tranche 1. </t>
  </si>
  <si>
    <t xml:space="preserve">Please enter the amount of early administrative funding you received: </t>
  </si>
  <si>
    <t>New Total:</t>
  </si>
  <si>
    <t>To start you will receive:</t>
  </si>
  <si>
    <t>(25% of your total funds)*</t>
  </si>
  <si>
    <r>
      <t xml:space="preserve">To be eligible for the next tranche, you </t>
    </r>
    <r>
      <rPr>
        <b/>
        <sz val="14"/>
        <color theme="1"/>
        <rFont val="Calibri"/>
        <family val="2"/>
        <scheme val="minor"/>
      </rPr>
      <t>must*</t>
    </r>
    <r>
      <rPr>
        <sz val="14"/>
        <color theme="1"/>
        <rFont val="Calibri"/>
        <family val="2"/>
        <scheme val="minor"/>
      </rPr>
      <t xml:space="preserve"> spend at least</t>
    </r>
  </si>
  <si>
    <r>
      <t xml:space="preserve">By the next tranche, the program recommends* a spending </t>
    </r>
    <r>
      <rPr>
        <b/>
        <sz val="14"/>
        <color theme="1"/>
        <rFont val="Calibri"/>
        <family val="2"/>
        <scheme val="minor"/>
      </rPr>
      <t>target</t>
    </r>
    <r>
      <rPr>
        <sz val="14"/>
        <color theme="1"/>
        <rFont val="Calibri"/>
        <family val="2"/>
        <scheme val="minor"/>
      </rPr>
      <t xml:space="preserve"> of</t>
    </r>
  </si>
  <si>
    <t>on low income housing.</t>
  </si>
  <si>
    <t>to</t>
  </si>
  <si>
    <t xml:space="preserve">on low income housing. </t>
  </si>
  <si>
    <r>
      <t>*</t>
    </r>
    <r>
      <rPr>
        <sz val="11"/>
        <color theme="1"/>
        <rFont val="Calibri"/>
        <family val="2"/>
        <scheme val="minor"/>
      </rPr>
      <t>Source</t>
    </r>
    <r>
      <rPr>
        <b/>
        <sz val="11"/>
        <color theme="1"/>
        <rFont val="Calibri"/>
        <family val="2"/>
        <scheme val="minor"/>
      </rPr>
      <t xml:space="preserve"> (2)</t>
    </r>
  </si>
  <si>
    <r>
      <t>To be eligible for the next tranche, you must also complete your</t>
    </r>
    <r>
      <rPr>
        <b/>
        <sz val="14"/>
        <color theme="1"/>
        <rFont val="Calibri"/>
        <family val="2"/>
        <scheme val="minor"/>
      </rPr>
      <t xml:space="preserve"> Approved Program Launch </t>
    </r>
    <r>
      <rPr>
        <sz val="14"/>
        <color theme="1"/>
        <rFont val="Calibri"/>
        <family val="2"/>
        <scheme val="minor"/>
      </rPr>
      <t>and</t>
    </r>
    <r>
      <rPr>
        <b/>
        <sz val="14"/>
        <color theme="1"/>
        <rFont val="Calibri"/>
        <family val="2"/>
        <scheme val="minor"/>
      </rPr>
      <t xml:space="preserve"> Approved State Implementation Blueprint</t>
    </r>
    <r>
      <rPr>
        <sz val="14"/>
        <color theme="1"/>
        <rFont val="Calibri"/>
        <family val="2"/>
        <scheme val="minor"/>
      </rPr>
      <t>.</t>
    </r>
  </si>
  <si>
    <r>
      <t xml:space="preserve">See source </t>
    </r>
    <r>
      <rPr>
        <b/>
        <sz val="14"/>
        <color theme="1"/>
        <rFont val="Calibri"/>
        <family val="2"/>
        <scheme val="minor"/>
      </rPr>
      <t>(1)</t>
    </r>
    <r>
      <rPr>
        <sz val="14"/>
        <color theme="1"/>
        <rFont val="Calibri"/>
        <family val="2"/>
        <scheme val="minor"/>
      </rPr>
      <t xml:space="preserve"> for more details on these deliverables. </t>
    </r>
  </si>
  <si>
    <t>To start Tranche 2, you will receive:</t>
  </si>
  <si>
    <t>(30% of your total funds)*</t>
  </si>
  <si>
    <t>Total allotment to date:</t>
  </si>
  <si>
    <r>
      <t xml:space="preserve">To be eligible for the next tranche, your cumulative 
spending </t>
    </r>
    <r>
      <rPr>
        <b/>
        <sz val="14"/>
        <color theme="1"/>
        <rFont val="Calibri"/>
        <family val="2"/>
        <scheme val="minor"/>
      </rPr>
      <t>must*</t>
    </r>
    <r>
      <rPr>
        <sz val="14"/>
        <color theme="1"/>
        <rFont val="Calibri"/>
        <family val="2"/>
        <scheme val="minor"/>
      </rPr>
      <t xml:space="preserve"> total to a minimum of</t>
    </r>
  </si>
  <si>
    <r>
      <t>By the next tranche, the program recommends*
a</t>
    </r>
    <r>
      <rPr>
        <b/>
        <sz val="14"/>
        <color theme="1"/>
        <rFont val="Calibri"/>
        <family val="2"/>
        <scheme val="minor"/>
      </rPr>
      <t xml:space="preserve"> </t>
    </r>
    <r>
      <rPr>
        <sz val="14"/>
        <color theme="1"/>
        <rFont val="Calibri"/>
        <family val="2"/>
        <scheme val="minor"/>
      </rPr>
      <t xml:space="preserve">cumulative spending </t>
    </r>
    <r>
      <rPr>
        <b/>
        <sz val="14"/>
        <color theme="1"/>
        <rFont val="Calibri"/>
        <family val="2"/>
        <scheme val="minor"/>
      </rPr>
      <t>target</t>
    </r>
    <r>
      <rPr>
        <sz val="14"/>
        <color theme="1"/>
        <rFont val="Calibri"/>
        <family val="2"/>
        <scheme val="minor"/>
      </rPr>
      <t xml:space="preserve"> of</t>
    </r>
  </si>
  <si>
    <t>on low income housing, and</t>
  </si>
  <si>
    <t xml:space="preserve">on multifamily, low income housing. </t>
  </si>
  <si>
    <r>
      <t xml:space="preserve">To be eligible for the next tranche, you must also complete your </t>
    </r>
    <r>
      <rPr>
        <b/>
        <sz val="14"/>
        <color theme="1"/>
        <rFont val="Calibri"/>
        <family val="2"/>
        <scheme val="minor"/>
      </rPr>
      <t>Approved Market Transformation Plan</t>
    </r>
    <r>
      <rPr>
        <sz val="14"/>
        <color theme="1"/>
        <rFont val="Calibri"/>
        <family val="2"/>
        <scheme val="minor"/>
      </rPr>
      <t>.</t>
    </r>
  </si>
  <si>
    <r>
      <t xml:space="preserve">See source </t>
    </r>
    <r>
      <rPr>
        <b/>
        <sz val="14"/>
        <color theme="1"/>
        <rFont val="Calibri"/>
        <family val="2"/>
        <scheme val="minor"/>
      </rPr>
      <t>(1)</t>
    </r>
    <r>
      <rPr>
        <sz val="14"/>
        <color theme="1"/>
        <rFont val="Calibri"/>
        <family val="2"/>
        <scheme val="minor"/>
      </rPr>
      <t xml:space="preserve"> for more details on this deliverable.</t>
    </r>
  </si>
  <si>
    <t>To start Tranche 3, you will receive:</t>
  </si>
  <si>
    <r>
      <t>To be eligible for the next tranche, you must also complete your</t>
    </r>
    <r>
      <rPr>
        <b/>
        <sz val="14"/>
        <color theme="1"/>
        <rFont val="Calibri"/>
        <family val="2"/>
        <scheme val="minor"/>
      </rPr>
      <t xml:space="preserve"> Approved Independent Privacy and Security Review</t>
    </r>
    <r>
      <rPr>
        <sz val="14"/>
        <color theme="1"/>
        <rFont val="Calibri"/>
        <family val="2"/>
        <scheme val="minor"/>
      </rPr>
      <t xml:space="preserve">, </t>
    </r>
    <r>
      <rPr>
        <b/>
        <sz val="14"/>
        <color theme="1"/>
        <rFont val="Calibri"/>
        <family val="2"/>
        <scheme val="minor"/>
      </rPr>
      <t>Approved Review of QA Plan</t>
    </r>
    <r>
      <rPr>
        <sz val="14"/>
        <color theme="1"/>
        <rFont val="Calibri"/>
        <family val="2"/>
        <scheme val="minor"/>
      </rPr>
      <t>, and</t>
    </r>
  </si>
  <si>
    <r>
      <rPr>
        <b/>
        <sz val="14"/>
        <color theme="1"/>
        <rFont val="Calibri"/>
        <family val="2"/>
        <scheme val="minor"/>
      </rPr>
      <t>Completed Review of Incentive Implementation</t>
    </r>
    <r>
      <rPr>
        <sz val="14"/>
        <color theme="1"/>
        <rFont val="Calibri"/>
        <family val="2"/>
        <scheme val="minor"/>
      </rPr>
      <t>. See source</t>
    </r>
    <r>
      <rPr>
        <b/>
        <sz val="14"/>
        <color theme="1"/>
        <rFont val="Calibri"/>
        <family val="2"/>
        <scheme val="minor"/>
      </rPr>
      <t xml:space="preserve"> (1) </t>
    </r>
    <r>
      <rPr>
        <sz val="14"/>
        <color theme="1"/>
        <rFont val="Calibri"/>
        <family val="2"/>
        <scheme val="minor"/>
      </rPr>
      <t>for more details on these deliverables.</t>
    </r>
  </si>
  <si>
    <t>During Tranche 4, you will receive the remaining</t>
  </si>
  <si>
    <r>
      <t xml:space="preserve">of your funds. </t>
    </r>
    <r>
      <rPr>
        <b/>
        <i/>
        <sz val="11"/>
        <color theme="1"/>
        <rFont val="Calibri"/>
        <family val="2"/>
        <scheme val="minor"/>
      </rPr>
      <t>(2)</t>
    </r>
  </si>
  <si>
    <t>The maximum you are permitted to spend on program admin. is</t>
  </si>
  <si>
    <r>
      <t xml:space="preserve">(20% of total allocations) </t>
    </r>
    <r>
      <rPr>
        <b/>
        <i/>
        <sz val="11"/>
        <color theme="1"/>
        <rFont val="Calibri"/>
        <family val="2"/>
        <scheme val="minor"/>
      </rPr>
      <t>(1)</t>
    </r>
  </si>
  <si>
    <t xml:space="preserve">The minimum spent on low income housing is </t>
  </si>
  <si>
    <r>
      <t xml:space="preserve">(based on % low income households in the state) </t>
    </r>
    <r>
      <rPr>
        <b/>
        <i/>
        <sz val="11"/>
        <color theme="1"/>
        <rFont val="Calibri"/>
        <family val="2"/>
        <scheme val="minor"/>
      </rPr>
      <t>(1)</t>
    </r>
  </si>
  <si>
    <t xml:space="preserve">The minimum spent on low income multifamily housing is </t>
  </si>
  <si>
    <r>
      <t xml:space="preserve">(10% of total allocation) </t>
    </r>
    <r>
      <rPr>
        <b/>
        <i/>
        <sz val="11"/>
        <color theme="1"/>
        <rFont val="Calibri"/>
        <family val="2"/>
        <scheme val="minor"/>
      </rPr>
      <t>(1)</t>
    </r>
  </si>
  <si>
    <r>
      <t xml:space="preserve">See source </t>
    </r>
    <r>
      <rPr>
        <b/>
        <sz val="14"/>
        <color theme="1"/>
        <rFont val="Calibri"/>
        <family val="2"/>
        <scheme val="minor"/>
      </rPr>
      <t>(1)</t>
    </r>
    <r>
      <rPr>
        <sz val="14"/>
        <color theme="1"/>
        <rFont val="Calibri"/>
        <family val="2"/>
        <scheme val="minor"/>
      </rPr>
      <t xml:space="preserve"> for more details on program requirements and total fund allocation information. Each state's total allocation, program administration</t>
    </r>
  </si>
  <si>
    <t>maximum, low income minimum allocation, and low income multifamily minimum allocation requirements are documented in Appendix A of that document.</t>
  </si>
  <si>
    <t>Documentation/sources:</t>
  </si>
  <si>
    <r>
      <rPr>
        <b/>
        <sz val="11"/>
        <rFont val="Calibri"/>
        <family val="2"/>
        <scheme val="minor"/>
      </rPr>
      <t xml:space="preserve">(1) </t>
    </r>
    <r>
      <rPr>
        <sz val="11"/>
        <rFont val="Calibri"/>
        <family val="2"/>
        <scheme val="minor"/>
      </rPr>
      <t>Program requirements, application instructions, and total fund allocation information</t>
    </r>
    <r>
      <rPr>
        <sz val="11"/>
        <color theme="10"/>
        <rFont val="Calibri"/>
        <family val="2"/>
        <scheme val="minor"/>
      </rPr>
      <t xml:space="preserve"> </t>
    </r>
    <r>
      <rPr>
        <u/>
        <sz val="11"/>
        <color theme="10"/>
        <rFont val="Calibri"/>
        <family val="2"/>
        <scheme val="minor"/>
      </rPr>
      <t>[https://www.energy.gov/scep/articles/home-energy-rebate-programs-requirements-and-application-instructions]</t>
    </r>
  </si>
  <si>
    <r>
      <rPr>
        <b/>
        <sz val="11"/>
        <rFont val="Calibri"/>
        <family val="2"/>
        <scheme val="minor"/>
      </rPr>
      <t xml:space="preserve">(2) </t>
    </r>
    <r>
      <rPr>
        <sz val="11"/>
        <rFont val="Calibri"/>
        <family val="2"/>
        <scheme val="minor"/>
      </rPr>
      <t xml:space="preserve">Tranche funding requirements (descriptions of tranche-specific milestones and deliverables are described in (1)) </t>
    </r>
    <r>
      <rPr>
        <u/>
        <sz val="11"/>
        <color theme="10"/>
        <rFont val="Calibri"/>
        <family val="2"/>
        <scheme val="minor"/>
      </rPr>
      <t>[https://www.energy.gov/scep/articles/home-energy-rebate-administrative-and-legal-requirements-document]</t>
    </r>
  </si>
  <si>
    <r>
      <rPr>
        <b/>
        <sz val="11"/>
        <rFont val="Calibri"/>
        <family val="2"/>
        <scheme val="minor"/>
      </rPr>
      <t xml:space="preserve">(3) </t>
    </r>
    <r>
      <rPr>
        <sz val="11"/>
        <rFont val="Calibri"/>
        <family val="2"/>
        <scheme val="minor"/>
      </rPr>
      <t>Early administrative funding information</t>
    </r>
    <r>
      <rPr>
        <sz val="11"/>
        <color theme="10"/>
        <rFont val="Calibri"/>
        <family val="2"/>
        <scheme val="minor"/>
      </rPr>
      <t xml:space="preserve"> </t>
    </r>
    <r>
      <rPr>
        <u/>
        <sz val="11"/>
        <color theme="10"/>
        <rFont val="Calibri"/>
        <family val="2"/>
        <scheme val="minor"/>
      </rPr>
      <t>[https://www.energy.gov/scep/articles/home-energy-rebates-programs-early-administrative-funds-administrative-and-legal]</t>
    </r>
  </si>
  <si>
    <r>
      <t>Home Electrification and Appliances Program</t>
    </r>
    <r>
      <rPr>
        <sz val="16"/>
        <rFont val="Calibri"/>
        <family val="2"/>
        <scheme val="minor"/>
      </rPr>
      <t xml:space="preserve"> (50122) </t>
    </r>
  </si>
  <si>
    <r>
      <t xml:space="preserve">From 'Appendix A: Required Allocations' of the </t>
    </r>
    <r>
      <rPr>
        <b/>
        <sz val="11"/>
        <color theme="1"/>
        <rFont val="Calibri"/>
        <family val="2"/>
        <scheme val="minor"/>
      </rPr>
      <t>Inflation Reduction Act Home Energy Rebates Program Requirements &amp; Application Instructions</t>
    </r>
    <r>
      <rPr>
        <sz val="11"/>
        <color theme="1"/>
        <rFont val="Calibri"/>
        <family val="2"/>
        <scheme val="minor"/>
      </rPr>
      <t xml:space="preserve">, </t>
    </r>
    <r>
      <rPr>
        <i/>
        <sz val="11"/>
        <color theme="1"/>
        <rFont val="Calibri"/>
        <family val="2"/>
        <scheme val="minor"/>
      </rPr>
      <t>Page 97-99, Table 13</t>
    </r>
    <r>
      <rPr>
        <sz val="11"/>
        <color theme="1"/>
        <rFont val="Calibri"/>
        <family val="2"/>
        <scheme val="minor"/>
      </rPr>
      <t>:</t>
    </r>
    <r>
      <rPr>
        <sz val="11"/>
        <color theme="4" tint="-0.499984740745262"/>
        <rFont val="Calibri"/>
        <family val="2"/>
        <scheme val="minor"/>
      </rPr>
      <t xml:space="preserve"> </t>
    </r>
    <r>
      <rPr>
        <u/>
        <sz val="11"/>
        <color theme="4" tint="-0.499984740745262"/>
        <rFont val="Calibri"/>
        <family val="2"/>
        <scheme val="minor"/>
      </rPr>
      <t>https://www.energy.gov/scep/articles/home-energy-rebate-programs-requirements-and-application-instructions</t>
    </r>
  </si>
  <si>
    <t>State or Territory</t>
  </si>
  <si>
    <t>Home Energy Performance-Based, Whole-House Rebate Allocations</t>
  </si>
  <si>
    <t>Max 20% Ceiling for Program Administration for Efficiency Rebates</t>
  </si>
  <si>
    <t>80% remaining for programs (calculated)</t>
  </si>
  <si>
    <t>% of Low-Income Households (&lt;80% AMI) in the State</t>
  </si>
  <si>
    <t>% of Low-Income Households (&lt;80% AMI) in the State (calculated)</t>
  </si>
  <si>
    <t>Min Allocations for Low-Income HHs</t>
  </si>
  <si>
    <t>Min 10% Low Income Multifamily Allocation</t>
  </si>
  <si>
    <t>Max Open Efficiency Rebate Allocation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</si>
  <si>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</si>
  <si>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</si>
  <si>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</si>
  <si>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</si>
  <si>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</si>
  <si>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</si>
  <si>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</si>
  <si>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</si>
  <si>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</si>
  <si>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</si>
  <si>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</si>
  <si>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</si>
  <si>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</si>
  <si>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</si>
  <si>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</si>
  <si>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</si>
  <si>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</si>
  <si>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</si>
  <si>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</si>
  <si>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</si>
  <si>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</si>
  <si>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</si>
  <si>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</si>
  <si>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</si>
  <si>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</si>
  <si>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</si>
  <si>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</si>
  <si>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</si>
  <si>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</si>
  <si>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</si>
  <si>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</si>
  <si>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</si>
  <si>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</si>
  <si>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</si>
  <si>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</si>
  <si>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</si>
  <si>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</si>
  <si>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</si>
  <si>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</si>
  <si>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</si>
  <si>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</si>
  <si>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</si>
  <si>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</si>
  <si>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</si>
  <si>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</si>
  <si>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</si>
  <si>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</si>
  <si>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</si>
  <si>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</si>
  <si>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</si>
  <si>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</si>
  <si>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</si>
  <si>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Guam</t>
  </si>
  <si>
    <t>U.S. Virgin Islands</t>
  </si>
  <si>
    <t>American Samoa</t>
  </si>
  <si>
    <t>Northern Marianas</t>
  </si>
  <si>
    <r>
      <t xml:space="preserve">From 'Appendix A: Required Allocations' of the </t>
    </r>
    <r>
      <rPr>
        <b/>
        <sz val="11"/>
        <color theme="1"/>
        <rFont val="Calibri"/>
        <family val="2"/>
        <scheme val="minor"/>
      </rPr>
      <t>Inflation Reduction Act Home Energy Rebates Program Requirements &amp; Application Instructions</t>
    </r>
    <r>
      <rPr>
        <sz val="11"/>
        <color theme="1"/>
        <rFont val="Calibri"/>
        <family val="2"/>
        <scheme val="minor"/>
      </rPr>
      <t xml:space="preserve">, </t>
    </r>
    <r>
      <rPr>
        <i/>
        <sz val="11"/>
        <color theme="1"/>
        <rFont val="Calibri"/>
        <family val="2"/>
        <scheme val="minor"/>
      </rPr>
      <t>Page 100-102, Table 14</t>
    </r>
    <r>
      <rPr>
        <sz val="11"/>
        <color theme="1"/>
        <rFont val="Calibri"/>
        <family val="2"/>
        <scheme val="minor"/>
      </rPr>
      <t>:</t>
    </r>
    <r>
      <rPr>
        <sz val="11"/>
        <color theme="4" tint="-0.499984740745262"/>
        <rFont val="Calibri"/>
        <family val="2"/>
        <scheme val="minor"/>
      </rPr>
      <t xml:space="preserve"> </t>
    </r>
    <r>
      <rPr>
        <u/>
        <sz val="11"/>
        <color theme="4" tint="-0.499984740745262"/>
        <rFont val="Calibri"/>
        <family val="2"/>
        <scheme val="minor"/>
      </rPr>
      <t>https://www.energy.gov/scep/articles/home-energy-rebate-programs-requirements-and-application-instructions</t>
    </r>
  </si>
  <si>
    <t>High Efficiency Electric Home Rebate Allocations</t>
  </si>
  <si>
    <t>Max 20% Ceiling for Program Administration for Electrification Rebates</t>
  </si>
  <si>
    <t>Max Open Electrification Rebate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</si>
</sst>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809]#,##0"/>
    <numFmt numFmtId="165" formatCode="0.0%"/>
    <numFmt numFmtId="166" formatCode="[$$-380A]\ #,##0.00"/>
    <numFmt numFmtId="167" formatCode="_(&quot;$&quot;* #,##0_);_(&quot;$&quot;* \(#,##0\);_(&quot;$&quot;* &quot;-&quot;??_);_(@_)"/>
  </numFmts>
  <fonts count="4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Times New Roman"/>
      <family val="2"/>
    </font>
    <font>
      <sz val="10"/>
      <color theme="1"/>
      <name val="Arial"/>
      <family val="2"/>
    </font>
    <font>
      <sz val="12"/>
      <color theme="1"/>
      <name val="Calibri"/>
      <family val="2"/>
      <scheme val="minor"/>
    </font>
    <font>
      <sz val="14"/>
      <color theme="1"/>
      <name val="Calibri"/>
      <family val="2"/>
      <scheme val="minor"/>
    </font>
    <font>
      <b/>
      <sz val="16"/>
      <name val="Calibri"/>
      <family val="2"/>
      <scheme val="minor"/>
    </font>
    <font>
      <b/>
      <sz val="14"/>
      <color theme="1"/>
      <name val="Calibri"/>
      <family val="2"/>
      <scheme val="minor"/>
    </font>
    <font>
      <sz val="16"/>
      <color theme="1"/>
      <name val="Calibri"/>
      <family val="2"/>
      <scheme val="minor"/>
    </font>
    <font>
      <sz val="13"/>
      <color theme="1"/>
      <name val="Calibri"/>
      <family val="2"/>
      <scheme val="minor"/>
    </font>
    <font>
      <sz val="13.6"/>
      <color theme="1"/>
      <name val="Calibri"/>
      <family val="2"/>
      <scheme val="minor"/>
    </font>
    <font>
      <b/>
      <sz val="10"/>
      <color theme="1"/>
      <name val="Arial"/>
      <family val="2"/>
    </font>
    <font>
      <sz val="11"/>
      <color theme="0" tint="-0.499984740745262"/>
      <name val="Calibri"/>
      <family val="2"/>
      <scheme val="minor"/>
    </font>
    <font>
      <sz val="10"/>
      <color theme="1"/>
      <name val="Calibri"/>
      <family val="2"/>
      <scheme val="minor"/>
    </font>
    <font>
      <b/>
      <sz val="10"/>
      <color theme="0" tint="-0.499984740745262"/>
      <name val="Calibri"/>
      <family val="2"/>
      <scheme val="minor"/>
    </font>
    <font>
      <sz val="12"/>
      <name val="Calibri"/>
      <family val="2"/>
      <scheme val="minor"/>
    </font>
    <font>
      <sz val="9"/>
      <color theme="1"/>
      <name val="Calibri"/>
      <family val="2"/>
      <scheme val="minor"/>
    </font>
    <font>
      <u/>
      <sz val="11"/>
      <color theme="10"/>
      <name val="Calibri"/>
      <family val="2"/>
      <scheme val="minor"/>
    </font>
    <font>
      <u/>
      <sz val="10"/>
      <color theme="10"/>
      <name val="Calibri"/>
      <family val="2"/>
      <scheme val="minor"/>
    </font>
    <font>
      <sz val="11"/>
      <name val="Calibri"/>
      <family val="2"/>
      <scheme val="minor"/>
    </font>
    <font>
      <sz val="10"/>
      <name val="Calibri"/>
      <family val="2"/>
      <scheme val="minor"/>
    </font>
    <font>
      <sz val="11"/>
      <color theme="10"/>
      <name val="Calibri"/>
      <family val="2"/>
      <scheme val="minor"/>
    </font>
    <font>
      <b/>
      <sz val="11"/>
      <name val="Calibri"/>
      <family val="2"/>
      <scheme val="minor"/>
    </font>
    <font>
      <i/>
      <sz val="11"/>
      <color theme="1"/>
      <name val="Calibri"/>
      <family val="2"/>
      <scheme val="minor"/>
    </font>
    <font>
      <i/>
      <sz val="8"/>
      <name val="Calibri"/>
      <family val="2"/>
      <scheme val="minor"/>
    </font>
    <font>
      <sz val="13.5"/>
      <color theme="1"/>
      <name val="Calibri"/>
      <family val="2"/>
      <scheme val="minor"/>
    </font>
    <font>
      <b/>
      <sz val="13.5"/>
      <color theme="1"/>
      <name val="Calibri"/>
      <family val="2"/>
      <scheme val="minor"/>
    </font>
    <font>
      <b/>
      <sz val="18"/>
      <name val="Calibri"/>
      <family val="2"/>
      <scheme val="minor"/>
    </font>
    <font>
      <sz val="18"/>
      <name val="Calibri"/>
      <family val="2"/>
      <scheme val="minor"/>
    </font>
    <font>
      <b/>
      <sz val="13.5"/>
      <color theme="4"/>
      <name val="Calibri"/>
      <family val="2"/>
      <scheme val="minor"/>
    </font>
    <font>
      <b/>
      <i/>
      <sz val="11"/>
      <color theme="1"/>
      <name val="Calibri"/>
      <family val="2"/>
      <scheme val="minor"/>
    </font>
    <font>
      <sz val="10"/>
      <color theme="0"/>
      <name val="Arial"/>
      <family val="2"/>
    </font>
    <font>
      <b/>
      <sz val="24"/>
      <name val="Calibri"/>
      <family val="2"/>
      <scheme val="minor"/>
    </font>
    <font>
      <b/>
      <sz val="10"/>
      <color theme="0"/>
      <name val="Arial"/>
      <family val="2"/>
    </font>
    <font>
      <sz val="16"/>
      <name val="Calibri"/>
      <family val="2"/>
      <scheme val="minor"/>
    </font>
    <font>
      <u/>
      <sz val="11"/>
      <color theme="4" tint="-0.499984740745262"/>
      <name val="Calibri"/>
      <family val="2"/>
      <scheme val="minor"/>
    </font>
    <font>
      <sz val="11"/>
      <color theme="4" tint="-0.499984740745262"/>
      <name val="Calibri"/>
      <family val="2"/>
      <scheme val="minor"/>
    </font>
    <font>
      <b/>
      <sz val="10"/>
      <color theme="0" tint="-0.34998626667073579"/>
      <name val="Arial"/>
      <family val="2"/>
    </font>
    <font>
      <sz val="10"/>
      <color theme="0" tint="-0.34998626667073579"/>
      <name val="Arial"/>
      <family val="2"/>
    </font>
    <font>
      <b/>
      <sz val="10"/>
      <color theme="0" tint="-0.499984740745262"/>
      <name val="Arial"/>
      <family val="2"/>
    </font>
  </fonts>
  <fills count="12">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s>
  <borders count="41">
    <border>
      <left/>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style="double">
        <color theme="8" tint="-0.499984740745262"/>
      </right>
      <top/>
      <bottom style="double">
        <color theme="8" tint="-0.499984740745262"/>
      </bottom>
      <diagonal/>
    </border>
    <border>
      <left style="double">
        <color theme="8" tint="-0.499984740745262"/>
      </left>
      <right/>
      <top/>
      <bottom/>
      <diagonal/>
    </border>
    <border>
      <left/>
      <right style="double">
        <color theme="8" tint="-0.499984740745262"/>
      </right>
      <top/>
      <bottom/>
      <diagonal/>
    </border>
    <border>
      <left style="hair">
        <color theme="4"/>
      </left>
      <right style="hair">
        <color theme="4"/>
      </right>
      <top style="hair">
        <color theme="4"/>
      </top>
      <bottom style="hair">
        <color theme="4"/>
      </bottom>
      <diagonal/>
    </border>
    <border>
      <left/>
      <right/>
      <top style="hair">
        <color theme="4"/>
      </top>
      <bottom/>
      <diagonal/>
    </border>
    <border>
      <left style="hair">
        <color theme="4"/>
      </left>
      <right/>
      <top style="hair">
        <color theme="4"/>
      </top>
      <bottom/>
      <diagonal/>
    </border>
    <border>
      <left style="hair">
        <color theme="4"/>
      </left>
      <right/>
      <top/>
      <bottom/>
      <diagonal/>
    </border>
    <border>
      <left/>
      <right style="hair">
        <color theme="4"/>
      </right>
      <top style="hair">
        <color theme="4"/>
      </top>
      <bottom/>
      <diagonal/>
    </border>
    <border>
      <left/>
      <right style="hair">
        <color theme="4"/>
      </right>
      <top/>
      <bottom/>
      <diagonal/>
    </border>
    <border>
      <left style="hair">
        <color theme="4"/>
      </left>
      <right/>
      <top/>
      <bottom style="hair">
        <color theme="4"/>
      </bottom>
      <diagonal/>
    </border>
    <border>
      <left/>
      <right/>
      <top/>
      <bottom style="hair">
        <color theme="4"/>
      </bottom>
      <diagonal/>
    </border>
    <border>
      <left/>
      <right style="hair">
        <color theme="4"/>
      </right>
      <top/>
      <bottom style="hair">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hair">
        <color theme="4" tint="-0.249977111117893"/>
      </left>
      <right/>
      <top style="hair">
        <color theme="4" tint="-0.249977111117893"/>
      </top>
      <bottom style="hair">
        <color theme="4" tint="-0.249977111117893"/>
      </bottom>
      <diagonal/>
    </border>
    <border>
      <left/>
      <right style="hair">
        <color theme="4" tint="-0.249977111117893"/>
      </right>
      <top style="hair">
        <color theme="4" tint="-0.249977111117893"/>
      </top>
      <bottom style="hair">
        <color theme="4" tint="-0.249977111117893"/>
      </bottom>
      <diagonal/>
    </border>
    <border>
      <left style="hair">
        <color theme="4" tint="-0.249977111117893"/>
      </left>
      <right style="hair">
        <color theme="4" tint="-0.249977111117893"/>
      </right>
      <top style="hair">
        <color theme="4" tint="-0.249977111117893"/>
      </top>
      <bottom style="hair">
        <color theme="4" tint="-0.249977111117893"/>
      </bottom>
      <diagonal/>
    </border>
    <border>
      <left style="hair">
        <color theme="4" tint="-0.249977111117893"/>
      </left>
      <right/>
      <top style="hair">
        <color theme="4" tint="-0.249977111117893"/>
      </top>
      <bottom/>
      <diagonal/>
    </border>
    <border>
      <left/>
      <right/>
      <top style="hair">
        <color theme="4" tint="-0.249977111117893"/>
      </top>
      <bottom/>
      <diagonal/>
    </border>
    <border>
      <left/>
      <right style="hair">
        <color theme="4" tint="-0.249977111117893"/>
      </right>
      <top style="hair">
        <color theme="4" tint="-0.249977111117893"/>
      </top>
      <bottom/>
      <diagonal/>
    </border>
    <border>
      <left style="hair">
        <color theme="4" tint="-0.249977111117893"/>
      </left>
      <right/>
      <top/>
      <bottom/>
      <diagonal/>
    </border>
    <border>
      <left/>
      <right style="hair">
        <color theme="4" tint="-0.249977111117893"/>
      </right>
      <top/>
      <bottom/>
      <diagonal/>
    </border>
    <border>
      <left style="hair">
        <color theme="4" tint="-0.249977111117893"/>
      </left>
      <right/>
      <top/>
      <bottom style="hair">
        <color theme="4" tint="-0.249977111117893"/>
      </bottom>
      <diagonal/>
    </border>
    <border>
      <left/>
      <right/>
      <top/>
      <bottom style="hair">
        <color theme="4" tint="-0.249977111117893"/>
      </bottom>
      <diagonal/>
    </border>
    <border>
      <left/>
      <right style="hair">
        <color theme="4" tint="-0.249977111117893"/>
      </right>
      <top/>
      <bottom style="hair">
        <color theme="4"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9" fillId="0" borderId="0" applyNumberFormat="0" applyFill="0" applyBorder="0" applyAlignment="0" applyProtection="0"/>
  </cellStyleXfs>
  <cellXfs count="161">
    <xf numFmtId="0" fontId="0" fillId="0" borderId="0" xfId="0"/>
    <xf numFmtId="0" fontId="3" fillId="0" borderId="0" xfId="3"/>
    <xf numFmtId="0" fontId="4" fillId="0" borderId="0" xfId="3" applyFont="1"/>
    <xf numFmtId="164" fontId="4" fillId="0" borderId="0" xfId="3" applyNumberFormat="1" applyFont="1"/>
    <xf numFmtId="0" fontId="0" fillId="0" borderId="0" xfId="0" applyAlignment="1">
      <alignment wrapText="1"/>
    </xf>
    <xf numFmtId="165" fontId="0" fillId="0" borderId="0" xfId="2" applyNumberFormat="1" applyFont="1"/>
    <xf numFmtId="164" fontId="3" fillId="0" borderId="0" xfId="3" applyNumberFormat="1"/>
    <xf numFmtId="165" fontId="3" fillId="0" borderId="0" xfId="3" applyNumberFormat="1"/>
    <xf numFmtId="0" fontId="5" fillId="0" borderId="0" xfId="0" applyFont="1"/>
    <xf numFmtId="6" fontId="3" fillId="0" borderId="0" xfId="3" applyNumberFormat="1"/>
    <xf numFmtId="0" fontId="0" fillId="0" borderId="0" xfId="0"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9" xfId="0" applyFill="1" applyBorder="1"/>
    <xf numFmtId="0" fontId="0" fillId="2" borderId="10" xfId="0" applyFill="1" applyBorder="1"/>
    <xf numFmtId="0" fontId="0" fillId="2" borderId="0" xfId="0" applyFill="1" applyAlignment="1">
      <alignment horizontal="center" wrapText="1"/>
    </xf>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6" fillId="0" borderId="0" xfId="0" applyFont="1"/>
    <xf numFmtId="0" fontId="7" fillId="0" borderId="0" xfId="0" applyFont="1" applyAlignment="1">
      <alignment horizontal="right"/>
    </xf>
    <xf numFmtId="0" fontId="9" fillId="0" borderId="0" xfId="0" applyFont="1"/>
    <xf numFmtId="0" fontId="7" fillId="0" borderId="0" xfId="0" applyFont="1"/>
    <xf numFmtId="0" fontId="7" fillId="0" borderId="0" xfId="0" applyFont="1" applyAlignment="1">
      <alignment horizontal="right" vertical="center" wrapText="1"/>
    </xf>
    <xf numFmtId="0" fontId="7" fillId="0" borderId="0" xfId="0" applyFont="1" applyAlignment="1">
      <alignment vertical="center" wrapText="1"/>
    </xf>
    <xf numFmtId="0" fontId="10" fillId="0" borderId="0" xfId="0" applyFont="1" applyAlignment="1">
      <alignment horizontal="right"/>
    </xf>
    <xf numFmtId="0" fontId="0" fillId="0" borderId="0" xfId="0" applyAlignment="1">
      <alignment vertical="center"/>
    </xf>
    <xf numFmtId="44" fontId="7"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wrapText="1"/>
    </xf>
    <xf numFmtId="0" fontId="0" fillId="0" borderId="12" xfId="0" applyBorder="1"/>
    <xf numFmtId="0" fontId="0" fillId="0" borderId="12" xfId="0" applyBorder="1" applyAlignment="1">
      <alignment vertic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vertical="center" wrapText="1"/>
    </xf>
    <xf numFmtId="0" fontId="11" fillId="0" borderId="16" xfId="0" applyFont="1" applyBorder="1" applyAlignment="1">
      <alignment vertical="center" wrapText="1"/>
    </xf>
    <xf numFmtId="0" fontId="7" fillId="0" borderId="0" xfId="0" applyFont="1" applyAlignment="1">
      <alignment horizontal="right" vertical="center"/>
    </xf>
    <xf numFmtId="0" fontId="12" fillId="0" borderId="0" xfId="0" applyFont="1" applyAlignment="1">
      <alignment horizontal="right"/>
    </xf>
    <xf numFmtId="0" fontId="12" fillId="0" borderId="0" xfId="0" applyFont="1"/>
    <xf numFmtId="166" fontId="0" fillId="0" borderId="0" xfId="0" applyNumberFormat="1"/>
    <xf numFmtId="0" fontId="2" fillId="0" borderId="0" xfId="0" applyFont="1"/>
    <xf numFmtId="0" fontId="6" fillId="0" borderId="0" xfId="0" applyFont="1" applyAlignment="1">
      <alignment vertical="center"/>
    </xf>
    <xf numFmtId="0" fontId="6" fillId="0" borderId="0" xfId="0" applyFont="1" applyAlignment="1">
      <alignment horizontal="left" vertical="center"/>
    </xf>
    <xf numFmtId="0" fontId="15" fillId="0" borderId="0" xfId="0" applyFont="1"/>
    <xf numFmtId="0" fontId="16" fillId="0" borderId="0" xfId="0" applyFont="1" applyAlignment="1">
      <alignment horizontal="right"/>
    </xf>
    <xf numFmtId="44" fontId="7" fillId="0" borderId="0" xfId="1" applyFont="1" applyFill="1" applyBorder="1" applyAlignment="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0" fillId="0" borderId="22" xfId="0" applyBorder="1"/>
    <xf numFmtId="0" fontId="7" fillId="0" borderId="22" xfId="0" applyFont="1" applyBorder="1" applyAlignment="1">
      <alignment vertical="top" wrapText="1"/>
    </xf>
    <xf numFmtId="0" fontId="0" fillId="0" borderId="23" xfId="0" applyBorder="1"/>
    <xf numFmtId="0" fontId="7" fillId="0" borderId="24" xfId="0" applyFont="1" applyBorder="1" applyAlignment="1">
      <alignment vertical="center" wrapText="1"/>
    </xf>
    <xf numFmtId="0" fontId="0" fillId="0" borderId="25" xfId="0" applyBorder="1"/>
    <xf numFmtId="0" fontId="0" fillId="0" borderId="24" xfId="0" applyBorder="1"/>
    <xf numFmtId="0" fontId="10" fillId="0" borderId="0" xfId="0" applyFont="1" applyAlignment="1">
      <alignment horizontal="center" vertical="center" wrapText="1"/>
    </xf>
    <xf numFmtId="0" fontId="0" fillId="0" borderId="26" xfId="0" applyBorder="1"/>
    <xf numFmtId="0" fontId="0" fillId="0" borderId="27" xfId="0" applyBorder="1"/>
    <xf numFmtId="0" fontId="0" fillId="0" borderId="28" xfId="0" applyBorder="1"/>
    <xf numFmtId="0" fontId="7" fillId="0" borderId="25" xfId="0" applyFont="1" applyBorder="1" applyAlignment="1">
      <alignment vertical="center" wrapText="1"/>
    </xf>
    <xf numFmtId="0" fontId="0" fillId="0" borderId="18" xfId="0" applyBorder="1" applyAlignment="1">
      <alignment vertical="center"/>
    </xf>
    <xf numFmtId="44" fontId="7" fillId="0" borderId="0" xfId="0" applyNumberFormat="1" applyFont="1" applyAlignment="1">
      <alignment vertical="center" wrapText="1"/>
    </xf>
    <xf numFmtId="0" fontId="0" fillId="0" borderId="21" xfId="0" applyBorder="1"/>
    <xf numFmtId="0" fontId="11" fillId="0" borderId="25" xfId="0" applyFont="1" applyBorder="1" applyAlignment="1">
      <alignment horizontal="left" vertical="center" wrapText="1"/>
    </xf>
    <xf numFmtId="165" fontId="0" fillId="0" borderId="0" xfId="2" applyNumberFormat="1" applyFont="1" applyFill="1"/>
    <xf numFmtId="0" fontId="10" fillId="0" borderId="0" xfId="0" applyFont="1"/>
    <xf numFmtId="0" fontId="0" fillId="5" borderId="0" xfId="0" applyFill="1"/>
    <xf numFmtId="0" fontId="2" fillId="5" borderId="0" xfId="0" applyFont="1" applyFill="1"/>
    <xf numFmtId="0" fontId="6" fillId="5" borderId="0" xfId="0" applyFont="1" applyFill="1" applyAlignment="1">
      <alignment horizontal="right"/>
    </xf>
    <xf numFmtId="0" fontId="7" fillId="5" borderId="0" xfId="0" applyFont="1" applyFill="1" applyAlignment="1">
      <alignment vertical="center"/>
    </xf>
    <xf numFmtId="0" fontId="7" fillId="5" borderId="0" xfId="0" applyFont="1" applyFill="1" applyAlignment="1">
      <alignment horizontal="right" vertical="center" wrapText="1"/>
    </xf>
    <xf numFmtId="0" fontId="7" fillId="5" borderId="0" xfId="0" applyFont="1" applyFill="1" applyAlignment="1">
      <alignment vertical="center" wrapText="1"/>
    </xf>
    <xf numFmtId="0" fontId="0" fillId="5" borderId="0" xfId="0" applyFill="1" applyAlignment="1">
      <alignment vertical="center"/>
    </xf>
    <xf numFmtId="44" fontId="6" fillId="5" borderId="0" xfId="0" applyNumberFormat="1" applyFont="1" applyFill="1" applyAlignment="1">
      <alignment vertical="center" wrapText="1"/>
    </xf>
    <xf numFmtId="44" fontId="18" fillId="5" borderId="0" xfId="1" applyFont="1" applyFill="1" applyAlignment="1">
      <alignment horizontal="left" indent="2"/>
    </xf>
    <xf numFmtId="44" fontId="18" fillId="5" borderId="0" xfId="1" applyFont="1" applyFill="1" applyAlignment="1">
      <alignment horizontal="right"/>
    </xf>
    <xf numFmtId="44" fontId="7" fillId="5" borderId="0" xfId="0" applyNumberFormat="1" applyFont="1" applyFill="1" applyAlignment="1">
      <alignment vertical="center"/>
    </xf>
    <xf numFmtId="44" fontId="7" fillId="5" borderId="0" xfId="0" applyNumberFormat="1" applyFont="1" applyFill="1" applyAlignment="1">
      <alignment vertical="center" wrapText="1"/>
    </xf>
    <xf numFmtId="165" fontId="2" fillId="7" borderId="20" xfId="2" applyNumberFormat="1" applyFont="1" applyFill="1" applyBorder="1"/>
    <xf numFmtId="0" fontId="2" fillId="5" borderId="0" xfId="0" applyFont="1" applyFill="1" applyAlignment="1">
      <alignment horizontal="right"/>
    </xf>
    <xf numFmtId="0" fontId="19" fillId="0" borderId="0" xfId="4"/>
    <xf numFmtId="44" fontId="7" fillId="7" borderId="0" xfId="0" applyNumberFormat="1" applyFont="1" applyFill="1" applyAlignment="1">
      <alignment vertical="center"/>
    </xf>
    <xf numFmtId="0" fontId="20" fillId="0" borderId="0" xfId="4" applyFont="1"/>
    <xf numFmtId="0" fontId="19" fillId="0" borderId="0" xfId="4" applyAlignment="1">
      <alignment horizontal="left"/>
    </xf>
    <xf numFmtId="0" fontId="25" fillId="0" borderId="0" xfId="0" applyFont="1"/>
    <xf numFmtId="0" fontId="8" fillId="0" borderId="0" xfId="0" applyFont="1" applyAlignment="1">
      <alignment horizontal="right"/>
    </xf>
    <xf numFmtId="0" fontId="26" fillId="5" borderId="0" xfId="0" applyFont="1" applyFill="1" applyAlignment="1">
      <alignment horizontal="left" indent="6"/>
    </xf>
    <xf numFmtId="0" fontId="0" fillId="0" borderId="32" xfId="0" applyBorder="1"/>
    <xf numFmtId="0" fontId="0" fillId="0" borderId="33" xfId="0" applyBorder="1"/>
    <xf numFmtId="0" fontId="0" fillId="0" borderId="34" xfId="0" applyBorder="1"/>
    <xf numFmtId="0" fontId="0" fillId="0" borderId="35" xfId="0" applyBorder="1"/>
    <xf numFmtId="0" fontId="27" fillId="0" borderId="0" xfId="0" applyFont="1"/>
    <xf numFmtId="0" fontId="0" fillId="0" borderId="36" xfId="0" applyBorder="1"/>
    <xf numFmtId="0" fontId="0" fillId="0" borderId="37" xfId="0" applyBorder="1"/>
    <xf numFmtId="0" fontId="0" fillId="0" borderId="38" xfId="0" applyBorder="1"/>
    <xf numFmtId="0" fontId="0" fillId="0" borderId="39" xfId="0" applyBorder="1"/>
    <xf numFmtId="44" fontId="6" fillId="0" borderId="0" xfId="0" applyNumberFormat="1" applyFont="1" applyAlignment="1">
      <alignment vertical="center" wrapText="1"/>
    </xf>
    <xf numFmtId="44" fontId="18" fillId="0" borderId="0" xfId="1" applyFont="1" applyFill="1" applyAlignment="1">
      <alignment horizontal="left" indent="2"/>
    </xf>
    <xf numFmtId="44" fontId="18" fillId="0" borderId="0" xfId="1" applyFont="1" applyFill="1" applyAlignment="1">
      <alignment horizontal="right"/>
    </xf>
    <xf numFmtId="0" fontId="6" fillId="0" borderId="0" xfId="0" applyFont="1" applyAlignment="1">
      <alignment horizontal="right" vertical="center"/>
    </xf>
    <xf numFmtId="0" fontId="28" fillId="0" borderId="0" xfId="0" applyFont="1"/>
    <xf numFmtId="0" fontId="29" fillId="0" borderId="0" xfId="0" applyFont="1" applyAlignment="1">
      <alignment horizontal="right"/>
    </xf>
    <xf numFmtId="167" fontId="7" fillId="4" borderId="11" xfId="0" applyNumberFormat="1" applyFont="1" applyFill="1" applyBorder="1" applyAlignment="1">
      <alignment vertical="center" wrapText="1"/>
    </xf>
    <xf numFmtId="167" fontId="7" fillId="4" borderId="11" xfId="0" applyNumberFormat="1" applyFont="1" applyFill="1" applyBorder="1" applyAlignment="1">
      <alignment vertical="center"/>
    </xf>
    <xf numFmtId="167" fontId="14" fillId="5" borderId="0" xfId="0" applyNumberFormat="1" applyFont="1" applyFill="1" applyAlignment="1">
      <alignment horizontal="left" vertical="center" indent="4"/>
    </xf>
    <xf numFmtId="167" fontId="2" fillId="6" borderId="20" xfId="1" applyNumberFormat="1" applyFont="1" applyFill="1" applyBorder="1"/>
    <xf numFmtId="44" fontId="0" fillId="0" borderId="0" xfId="1" applyFont="1" applyBorder="1"/>
    <xf numFmtId="167" fontId="31" fillId="8" borderId="31" xfId="1" applyNumberFormat="1" applyFont="1" applyFill="1" applyBorder="1"/>
    <xf numFmtId="0" fontId="33" fillId="0" borderId="0" xfId="3" applyFont="1"/>
    <xf numFmtId="0" fontId="41" fillId="11" borderId="40" xfId="0" applyFont="1" applyFill="1" applyBorder="1" applyAlignment="1">
      <alignment wrapText="1"/>
    </xf>
    <xf numFmtId="0" fontId="39" fillId="5" borderId="40" xfId="0" applyFont="1" applyFill="1" applyBorder="1" applyAlignment="1">
      <alignment wrapText="1"/>
    </xf>
    <xf numFmtId="0" fontId="40" fillId="5" borderId="40" xfId="3" applyFont="1" applyFill="1" applyBorder="1"/>
    <xf numFmtId="164" fontId="40" fillId="5" borderId="40" xfId="3" applyNumberFormat="1" applyFont="1" applyFill="1" applyBorder="1"/>
    <xf numFmtId="164" fontId="40" fillId="5" borderId="40" xfId="0" applyNumberFormat="1" applyFont="1" applyFill="1" applyBorder="1"/>
    <xf numFmtId="165" fontId="40" fillId="5" borderId="40" xfId="3" applyNumberFormat="1" applyFont="1" applyFill="1" applyBorder="1"/>
    <xf numFmtId="165" fontId="40" fillId="5" borderId="40" xfId="2" applyNumberFormat="1" applyFont="1" applyFill="1" applyBorder="1"/>
    <xf numFmtId="0" fontId="41" fillId="11" borderId="40" xfId="0" applyFont="1" applyFill="1" applyBorder="1" applyAlignment="1">
      <alignment horizontal="left" wrapText="1"/>
    </xf>
    <xf numFmtId="0" fontId="35" fillId="5" borderId="40" xfId="0" applyFont="1" applyFill="1" applyBorder="1" applyAlignment="1">
      <alignment horizontal="left" wrapText="1"/>
    </xf>
    <xf numFmtId="0" fontId="13" fillId="5" borderId="40" xfId="0" applyFont="1" applyFill="1" applyBorder="1" applyAlignment="1">
      <alignment horizontal="left" wrapText="1"/>
    </xf>
    <xf numFmtId="167" fontId="0" fillId="0" borderId="0" xfId="0" applyNumberFormat="1"/>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2" borderId="0" xfId="0" applyFont="1" applyFill="1" applyAlignment="1">
      <alignment horizont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6" fillId="2" borderId="0" xfId="0" applyFont="1" applyFill="1" applyAlignment="1">
      <alignment horizontal="center"/>
    </xf>
    <xf numFmtId="0" fontId="17" fillId="2" borderId="9" xfId="0" applyFont="1" applyFill="1" applyBorder="1" applyAlignment="1">
      <alignment horizontal="center" wrapText="1"/>
    </xf>
    <xf numFmtId="0" fontId="17" fillId="2" borderId="0" xfId="0" applyFont="1" applyFill="1" applyAlignment="1">
      <alignment horizontal="center" wrapText="1"/>
    </xf>
    <xf numFmtId="0" fontId="17" fillId="2" borderId="10" xfId="0" applyFont="1" applyFill="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22" xfId="0" applyFont="1" applyBorder="1" applyAlignment="1">
      <alignment horizontal="center" vertical="top" wrapText="1"/>
    </xf>
    <xf numFmtId="0" fontId="7" fillId="0" borderId="23" xfId="0" applyFont="1" applyBorder="1" applyAlignment="1">
      <alignment horizontal="center" vertical="top" wrapText="1"/>
    </xf>
    <xf numFmtId="0" fontId="7" fillId="0" borderId="27" xfId="0" applyFont="1" applyBorder="1" applyAlignment="1">
      <alignment horizontal="center" vertical="top" wrapText="1"/>
    </xf>
    <xf numFmtId="0" fontId="7" fillId="0" borderId="28" xfId="0" applyFont="1" applyBorder="1" applyAlignment="1">
      <alignment horizontal="center" vertical="top" wrapText="1"/>
    </xf>
    <xf numFmtId="167" fontId="7" fillId="4" borderId="29" xfId="0" applyNumberFormat="1" applyFont="1" applyFill="1" applyBorder="1" applyAlignment="1">
      <alignment horizontal="center" vertical="center"/>
    </xf>
    <xf numFmtId="167" fontId="7" fillId="4" borderId="30"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22" xfId="0" applyFont="1" applyBorder="1" applyAlignment="1">
      <alignment horizontal="left" wrapText="1"/>
    </xf>
    <xf numFmtId="0" fontId="7" fillId="0" borderId="23" xfId="0" applyFont="1" applyBorder="1" applyAlignment="1">
      <alignment horizontal="left" wrapText="1"/>
    </xf>
    <xf numFmtId="0" fontId="7" fillId="0" borderId="0" xfId="0" applyFont="1" applyAlignment="1">
      <alignment horizontal="left" wrapText="1"/>
    </xf>
    <xf numFmtId="0" fontId="7" fillId="0" borderId="25" xfId="0" applyFont="1" applyBorder="1" applyAlignment="1">
      <alignment horizontal="left" wrapText="1"/>
    </xf>
    <xf numFmtId="0" fontId="7" fillId="0" borderId="0" xfId="0" applyFont="1" applyAlignment="1">
      <alignment horizontal="left" vertical="top" wrapText="1"/>
    </xf>
    <xf numFmtId="0" fontId="7" fillId="0" borderId="25" xfId="0" applyFont="1" applyBorder="1" applyAlignment="1">
      <alignment horizontal="left" vertical="top" wrapText="1"/>
    </xf>
    <xf numFmtId="0" fontId="34" fillId="9" borderId="0" xfId="0" applyFont="1" applyFill="1" applyAlignment="1">
      <alignment horizontal="center" vertical="center"/>
    </xf>
    <xf numFmtId="0" fontId="0" fillId="10" borderId="0" xfId="0" applyFill="1" applyAlignment="1">
      <alignment horizontal="center" vertical="center" wrapText="1"/>
    </xf>
  </cellXfs>
  <cellStyles count="5">
    <cellStyle name="Currency" xfId="1" builtinId="4"/>
    <cellStyle name="Hyperlink" xfId="4" builtinId="8"/>
    <cellStyle name="Normal" xfId="0" builtinId="0"/>
    <cellStyle name="Normal 2" xfId="3" xr:uid="{339D97C8-73AB-4A7B-9CA0-D859DB8E23C5}"/>
    <cellStyle name="Percent" xfId="2" builtinId="5"/>
  </cellStyles>
  <dxfs count="44">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0" tint="-4.9989318521683403E-2"/>
        </patternFill>
      </fill>
    </dxf>
    <dxf>
      <fill>
        <patternFill>
          <bgColor theme="0"/>
        </patternFill>
      </fill>
      <border>
        <left style="thin">
          <color theme="0"/>
        </left>
        <right style="thin">
          <color theme="0"/>
        </right>
        <top style="thin">
          <color theme="0"/>
        </top>
        <bottom style="thin">
          <color theme="0"/>
        </bottom>
        <vertical/>
        <horizontal/>
      </border>
    </dxf>
    <dxf>
      <font>
        <color theme="0"/>
      </font>
    </dxf>
    <dxf>
      <font>
        <color theme="0"/>
      </font>
    </dxf>
    <dxf>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border>
        <left/>
        <right/>
        <top/>
        <bottom/>
        <vertical/>
        <horizontal/>
      </border>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bgColor theme="0" tint="-4.9989318521683403E-2"/>
        </patternFill>
      </fill>
    </dxf>
    <dxf>
      <fill>
        <patternFill>
          <bgColor theme="0"/>
        </patternFill>
      </fill>
      <border>
        <left style="thin">
          <color theme="0"/>
        </left>
        <right style="thin">
          <color theme="0"/>
        </right>
        <top style="thin">
          <color theme="0"/>
        </top>
        <bottom style="thin">
          <color theme="0"/>
        </bottom>
        <vertical/>
        <horizontal/>
      </border>
    </dxf>
    <dxf>
      <font>
        <color theme="0"/>
      </font>
    </dxf>
    <dxf>
      <font>
        <color theme="0"/>
      </font>
    </dxf>
    <dxf>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Low Income Spending</c:v>
          </c:tx>
          <c:spPr>
            <a:solidFill>
              <a:schemeClr val="accent1">
                <a:alpha val="48000"/>
              </a:schemeClr>
            </a:solidFill>
            <a:ln>
              <a:solidFill>
                <a:schemeClr val="tx1">
                  <a:alpha val="72000"/>
                </a:schemeClr>
              </a:solidFill>
            </a:ln>
            <a:effectLst>
              <a:innerShdw blurRad="63500" dist="50800" dir="8100000">
                <a:prstClr val="black">
                  <a:alpha val="0"/>
                </a:prst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'50121'!$AB$8</c:f>
              <c:numCache>
                <c:formatCode>0.0%</c:formatCode>
                <c:ptCount val="1"/>
                <c:pt idx="0">
                  <c:v>0</c:v>
                </c:pt>
              </c:numCache>
            </c:numRef>
          </c:val>
          <c:extLst>
            <c:ext xmlns:c16="http://schemas.microsoft.com/office/drawing/2014/chart" uri="{C3380CC4-5D6E-409C-BE32-E72D297353CC}">
              <c16:uniqueId val="{00000001-8E90-4CAC-9192-14773669CA8A}"/>
            </c:ext>
          </c:extLst>
        </c:ser>
        <c:dLbls>
          <c:showLegendKey val="0"/>
          <c:showVal val="0"/>
          <c:showCatName val="0"/>
          <c:showSerName val="0"/>
          <c:showPercent val="0"/>
          <c:showBubbleSize val="0"/>
        </c:dLbls>
        <c:gapWidth val="36"/>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a:scene3d>
      <a:camera prst="orthographicFront"/>
      <a:lightRig rig="threePt" dir="t"/>
    </a:scene3d>
    <a:sp3d>
      <a:bevelT w="0" h="0"/>
    </a:sp3d>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Low Income Multifamily Spending</c:v>
          </c:tx>
          <c:spPr>
            <a:solidFill>
              <a:schemeClr val="accent1">
                <a:alpha val="48000"/>
              </a:schemeClr>
            </a:solidFill>
            <a:ln>
              <a:solidFill>
                <a:schemeClr val="tx1">
                  <a:alpha val="6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'50121'!$AB$9</c:f>
              <c:numCache>
                <c:formatCode>0.0%</c:formatCode>
                <c:ptCount val="1"/>
                <c:pt idx="0">
                  <c:v>0</c:v>
                </c:pt>
              </c:numCache>
            </c:numRef>
          </c:val>
          <c:extLst>
            <c:ext xmlns:c16="http://schemas.microsoft.com/office/drawing/2014/chart" uri="{C3380CC4-5D6E-409C-BE32-E72D297353CC}">
              <c16:uniqueId val="{00000000-E98A-4F48-97A2-F0D03DDA881F}"/>
            </c:ext>
          </c:extLst>
        </c:ser>
        <c:dLbls>
          <c:showLegendKey val="0"/>
          <c:showVal val="0"/>
          <c:showCatName val="0"/>
          <c:showSerName val="0"/>
          <c:showPercent val="0"/>
          <c:showBubbleSize val="0"/>
        </c:dLbls>
        <c:gapWidth val="31"/>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a:scene3d>
      <a:camera prst="orthographicFront"/>
      <a:lightRig rig="threePt" dir="t"/>
    </a:scene3d>
    <a:sp3d>
      <a:bevelT w="0" h="0"/>
    </a:sp3d>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Program Admin. Spending</c:v>
          </c:tx>
          <c:spPr>
            <a:solidFill>
              <a:schemeClr val="accent1">
                <a:alpha val="48000"/>
              </a:schemeClr>
            </a:solidFill>
            <a:ln>
              <a:solidFill>
                <a:schemeClr val="tx1">
                  <a:alpha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'50121'!$AB$10</c:f>
              <c:numCache>
                <c:formatCode>0.0%</c:formatCode>
                <c:ptCount val="1"/>
                <c:pt idx="0">
                  <c:v>0</c:v>
                </c:pt>
              </c:numCache>
            </c:numRef>
          </c:val>
          <c:extLst>
            <c:ext xmlns:c16="http://schemas.microsoft.com/office/drawing/2014/chart" uri="{C3380CC4-5D6E-409C-BE32-E72D297353CC}">
              <c16:uniqueId val="{00000000-BA94-44E7-88B8-A656562317BA}"/>
            </c:ext>
          </c:extLst>
        </c:ser>
        <c:dLbls>
          <c:showLegendKey val="0"/>
          <c:showVal val="0"/>
          <c:showCatName val="0"/>
          <c:showSerName val="0"/>
          <c:showPercent val="0"/>
          <c:showBubbleSize val="0"/>
        </c:dLbls>
        <c:gapWidth val="31"/>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a:scene3d>
      <a:camera prst="orthographicFront"/>
      <a:lightRig rig="threePt" dir="t"/>
    </a:scene3d>
    <a:sp3d>
      <a:bevelT w="0" h="0"/>
    </a:sp3d>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Total Spending</c:v>
          </c:tx>
          <c:spPr>
            <a:solidFill>
              <a:schemeClr val="accent1">
                <a:alpha val="48000"/>
              </a:schemeClr>
            </a:solidFill>
            <a:ln>
              <a:solidFill>
                <a:schemeClr val="accent3">
                  <a:shade val="15000"/>
                  <a:alpha val="78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'50121'!$AB$7</c:f>
              <c:numCache>
                <c:formatCode>0.0%</c:formatCode>
                <c:ptCount val="1"/>
                <c:pt idx="0">
                  <c:v>0</c:v>
                </c:pt>
              </c:numCache>
            </c:numRef>
          </c:val>
          <c:extLst>
            <c:ext xmlns:c16="http://schemas.microsoft.com/office/drawing/2014/chart" uri="{C3380CC4-5D6E-409C-BE32-E72D297353CC}">
              <c16:uniqueId val="{00000000-6517-4F5C-8758-4D0BFE8A8F56}"/>
            </c:ext>
          </c:extLst>
        </c:ser>
        <c:dLbls>
          <c:showLegendKey val="0"/>
          <c:showVal val="0"/>
          <c:showCatName val="0"/>
          <c:showSerName val="0"/>
          <c:showPercent val="0"/>
          <c:showBubbleSize val="0"/>
        </c:dLbls>
        <c:gapWidth val="31"/>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Low Income Spending</c:v>
          </c:tx>
          <c:spPr>
            <a:solidFill>
              <a:schemeClr val="accent1">
                <a:alpha val="48000"/>
              </a:schemeClr>
            </a:solidFill>
            <a:ln>
              <a:solidFill>
                <a:schemeClr val="tx1">
                  <a:alpha val="72000"/>
                </a:schemeClr>
              </a:solidFill>
            </a:ln>
            <a:effectLst>
              <a:innerShdw blurRad="63500" dist="50800" dir="8100000">
                <a:prstClr val="black">
                  <a:alpha val="0"/>
                </a:prst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'50122'!$AB$8</c:f>
              <c:numCache>
                <c:formatCode>0.0%</c:formatCode>
                <c:ptCount val="1"/>
                <c:pt idx="0">
                  <c:v>0</c:v>
                </c:pt>
              </c:numCache>
            </c:numRef>
          </c:val>
          <c:extLst>
            <c:ext xmlns:c16="http://schemas.microsoft.com/office/drawing/2014/chart" uri="{C3380CC4-5D6E-409C-BE32-E72D297353CC}">
              <c16:uniqueId val="{00000000-C2FE-4E8E-9E02-35B536645A89}"/>
            </c:ext>
          </c:extLst>
        </c:ser>
        <c:dLbls>
          <c:showLegendKey val="0"/>
          <c:showVal val="0"/>
          <c:showCatName val="0"/>
          <c:showSerName val="0"/>
          <c:showPercent val="0"/>
          <c:showBubbleSize val="0"/>
        </c:dLbls>
        <c:gapWidth val="36"/>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a:scene3d>
      <a:camera prst="orthographicFront"/>
      <a:lightRig rig="threePt" dir="t"/>
    </a:scene3d>
    <a:sp3d>
      <a:bevelT w="0" h="0"/>
    </a:sp3d>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Low Income Multifamily Spending</c:v>
          </c:tx>
          <c:spPr>
            <a:solidFill>
              <a:schemeClr val="accent1">
                <a:alpha val="48000"/>
              </a:schemeClr>
            </a:solidFill>
            <a:ln>
              <a:solidFill>
                <a:schemeClr val="tx1">
                  <a:alpha val="6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'50122'!$AB$9</c:f>
              <c:numCache>
                <c:formatCode>0.0%</c:formatCode>
                <c:ptCount val="1"/>
                <c:pt idx="0">
                  <c:v>0</c:v>
                </c:pt>
              </c:numCache>
            </c:numRef>
          </c:val>
          <c:extLst>
            <c:ext xmlns:c16="http://schemas.microsoft.com/office/drawing/2014/chart" uri="{C3380CC4-5D6E-409C-BE32-E72D297353CC}">
              <c16:uniqueId val="{00000000-95E9-4B52-95E5-251BAB81CC5D}"/>
            </c:ext>
          </c:extLst>
        </c:ser>
        <c:dLbls>
          <c:showLegendKey val="0"/>
          <c:showVal val="0"/>
          <c:showCatName val="0"/>
          <c:showSerName val="0"/>
          <c:showPercent val="0"/>
          <c:showBubbleSize val="0"/>
        </c:dLbls>
        <c:gapWidth val="31"/>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a:scene3d>
      <a:camera prst="orthographicFront"/>
      <a:lightRig rig="threePt" dir="t"/>
    </a:scene3d>
    <a:sp3d>
      <a:bevelT w="0" h="0"/>
    </a:sp3d>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Program Admin. Spending</c:v>
          </c:tx>
          <c:spPr>
            <a:solidFill>
              <a:schemeClr val="accent1">
                <a:alpha val="48000"/>
              </a:schemeClr>
            </a:solidFill>
            <a:ln>
              <a:solidFill>
                <a:schemeClr val="tx1">
                  <a:alpha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'50122'!$AB$10</c:f>
              <c:numCache>
                <c:formatCode>0.0%</c:formatCode>
                <c:ptCount val="1"/>
                <c:pt idx="0">
                  <c:v>0</c:v>
                </c:pt>
              </c:numCache>
            </c:numRef>
          </c:val>
          <c:extLst>
            <c:ext xmlns:c16="http://schemas.microsoft.com/office/drawing/2014/chart" uri="{C3380CC4-5D6E-409C-BE32-E72D297353CC}">
              <c16:uniqueId val="{00000000-881A-437A-8DB6-EFA240A587DC}"/>
            </c:ext>
          </c:extLst>
        </c:ser>
        <c:dLbls>
          <c:showLegendKey val="0"/>
          <c:showVal val="0"/>
          <c:showCatName val="0"/>
          <c:showSerName val="0"/>
          <c:showPercent val="0"/>
          <c:showBubbleSize val="0"/>
        </c:dLbls>
        <c:gapWidth val="31"/>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a:scene3d>
      <a:camera prst="orthographicFront"/>
      <a:lightRig rig="threePt" dir="t"/>
    </a:scene3d>
    <a:sp3d>
      <a:bevelT w="0" h="0"/>
    </a:sp3d>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Total Spending</c:v>
          </c:tx>
          <c:spPr>
            <a:solidFill>
              <a:schemeClr val="accent1">
                <a:alpha val="48000"/>
              </a:schemeClr>
            </a:solidFill>
            <a:ln>
              <a:solidFill>
                <a:schemeClr val="accent3">
                  <a:shade val="15000"/>
                  <a:alpha val="78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'50122'!$AB$7</c:f>
              <c:numCache>
                <c:formatCode>0.0%</c:formatCode>
                <c:ptCount val="1"/>
                <c:pt idx="0">
                  <c:v>0</c:v>
                </c:pt>
              </c:numCache>
            </c:numRef>
          </c:val>
          <c:extLst>
            <c:ext xmlns:c16="http://schemas.microsoft.com/office/drawing/2014/chart" uri="{C3380CC4-5D6E-409C-BE32-E72D297353CC}">
              <c16:uniqueId val="{00000000-ABB0-4505-BEDE-267B4BBBB7E8}"/>
            </c:ext>
          </c:extLst>
        </c:ser>
        <c:dLbls>
          <c:showLegendKey val="0"/>
          <c:showVal val="0"/>
          <c:showCatName val="0"/>
          <c:showSerName val="0"/>
          <c:showPercent val="0"/>
          <c:showBubbleSize val="0"/>
        </c:dLbls>
        <c:gapWidth val="31"/>
        <c:axId val="495785744"/>
        <c:axId val="1223997903"/>
      </c:barChart>
      <c:catAx>
        <c:axId val="495785744"/>
        <c:scaling>
          <c:orientation val="minMax"/>
        </c:scaling>
        <c:delete val="1"/>
        <c:axPos val="l"/>
        <c:majorTickMark val="out"/>
        <c:minorTickMark val="none"/>
        <c:tickLblPos val="nextTo"/>
        <c:crossAx val="1223997903"/>
        <c:crosses val="autoZero"/>
        <c:auto val="1"/>
        <c:lblAlgn val="ctr"/>
        <c:lblOffset val="100"/>
        <c:noMultiLvlLbl val="0"/>
      </c:catAx>
      <c:valAx>
        <c:axId val="1223997903"/>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5785744"/>
        <c:crosses val="autoZero"/>
        <c:crossBetween val="between"/>
        <c:majorUnit val="1"/>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softEdge rad="63500"/>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411479</xdr:colOff>
      <xdr:row>2</xdr:row>
      <xdr:rowOff>116201</xdr:rowOff>
    </xdr:from>
    <xdr:to>
      <xdr:col>9</xdr:col>
      <xdr:colOff>560069</xdr:colOff>
      <xdr:row>24</xdr:row>
      <xdr:rowOff>134937</xdr:rowOff>
    </xdr:to>
    <xdr:sp macro="" textlink="">
      <xdr:nvSpPr>
        <xdr:cNvPr id="2" name="Rectangle 1">
          <a:extLst>
            <a:ext uri="{FF2B5EF4-FFF2-40B4-BE49-F238E27FC236}">
              <a16:creationId xmlns:a16="http://schemas.microsoft.com/office/drawing/2014/main" id="{5C1DE962-BF61-4C9D-4D25-ACDC8CEBC22E}"/>
            </a:ext>
          </a:extLst>
        </xdr:cNvPr>
        <xdr:cNvSpPr/>
      </xdr:nvSpPr>
      <xdr:spPr>
        <a:xfrm>
          <a:off x="1022667" y="481326"/>
          <a:ext cx="5038090" cy="3804924"/>
        </a:xfrm>
        <a:prstGeom prst="rect">
          <a:avLst/>
        </a:prstGeom>
        <a:solidFill>
          <a:schemeClr val="bg1"/>
        </a:solidFill>
        <a:ln w="34925">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0">
          <a:schemeClr val="dk1"/>
        </a:lnRef>
        <a:fillRef idx="3">
          <a:schemeClr val="dk1"/>
        </a:fillRef>
        <a:effectRef idx="3">
          <a:schemeClr val="dk1"/>
        </a:effectRef>
        <a:fontRef idx="minor">
          <a:schemeClr val="lt1"/>
        </a:fontRef>
      </xdr:style>
      <xdr:txBody>
        <a:bodyPr vertOverflow="clip" horzOverflow="clip" rtlCol="0" anchor="t"/>
        <a:lstStyle/>
        <a:p>
          <a:pPr algn="l"/>
          <a:r>
            <a:rPr lang="en-US" sz="1400" b="1" i="0">
              <a:solidFill>
                <a:sysClr val="windowText" lastClr="000000"/>
              </a:solidFill>
              <a:effectLst/>
              <a:latin typeface="+mn-lt"/>
              <a:ea typeface="+mn-ea"/>
              <a:cs typeface="+mn-cs"/>
            </a:rPr>
            <a:t>Budget Allocation and Tranche Calculator</a:t>
          </a:r>
        </a:p>
        <a:p>
          <a:pPr algn="l"/>
          <a:r>
            <a:rPr lang="en-US" sz="1400" b="0" i="0">
              <a:solidFill>
                <a:sysClr val="windowText" lastClr="000000"/>
              </a:solidFill>
              <a:effectLst/>
              <a:latin typeface="+mn-lt"/>
              <a:ea typeface="+mn-ea"/>
              <a:cs typeface="+mn-cs"/>
            </a:rPr>
            <a:t>Version 1.2</a:t>
          </a:r>
        </a:p>
        <a:p>
          <a:pPr algn="l"/>
          <a:r>
            <a:rPr lang="en-US" sz="1400" b="0" i="1">
              <a:solidFill>
                <a:srgbClr val="FF0000"/>
              </a:solidFill>
              <a:effectLst/>
              <a:latin typeface="+mn-lt"/>
              <a:ea typeface="+mn-ea"/>
              <a:cs typeface="+mn-cs"/>
            </a:rPr>
            <a:t>Updated</a:t>
          </a:r>
          <a:r>
            <a:rPr lang="en-US" sz="1400" b="0" i="1" baseline="0">
              <a:solidFill>
                <a:srgbClr val="FF0000"/>
              </a:solidFill>
              <a:effectLst/>
              <a:latin typeface="+mn-lt"/>
              <a:ea typeface="+mn-ea"/>
              <a:cs typeface="+mn-cs"/>
            </a:rPr>
            <a:t> June 2024</a:t>
          </a:r>
          <a:br>
            <a:rPr lang="en-US" sz="1400" b="0" i="1" baseline="0">
              <a:solidFill>
                <a:srgbClr val="FF0000"/>
              </a:solidFill>
              <a:effectLst/>
              <a:latin typeface="+mn-lt"/>
              <a:ea typeface="+mn-ea"/>
              <a:cs typeface="+mn-cs"/>
            </a:rPr>
          </a:br>
          <a:br>
            <a:rPr lang="en-US" sz="1400" b="0" i="0">
              <a:solidFill>
                <a:schemeClr val="tx1"/>
              </a:solidFill>
              <a:effectLst/>
              <a:latin typeface="+mn-lt"/>
              <a:ea typeface="+mn-ea"/>
              <a:cs typeface="+mn-cs"/>
            </a:rPr>
          </a:br>
          <a:r>
            <a:rPr lang="en-US" sz="1400" b="0" i="0">
              <a:solidFill>
                <a:schemeClr val="tx1"/>
              </a:solidFill>
              <a:effectLst/>
              <a:latin typeface="+mn-lt"/>
              <a:ea typeface="+mn-ea"/>
              <a:cs typeface="+mn-cs"/>
            </a:rPr>
            <a:t>The aim of this calculator is to assist states and territories in effectively distributing budget allocations for home energy rebates as outlined in the 2022 Inflation Reduction Act. It specifically details the breakdown of two programs: </a:t>
          </a:r>
          <a:r>
            <a:rPr lang="en-US" sz="1400" b="1" i="0">
              <a:solidFill>
                <a:schemeClr val="tx1"/>
              </a:solidFill>
              <a:effectLst/>
              <a:latin typeface="+mn-lt"/>
              <a:ea typeface="+mn-ea"/>
              <a:cs typeface="+mn-cs"/>
            </a:rPr>
            <a:t>the Home Efficiency Rebates Program </a:t>
          </a:r>
          <a:r>
            <a:rPr lang="en-US" sz="1400" b="0" i="0">
              <a:solidFill>
                <a:schemeClr val="tx1"/>
              </a:solidFill>
              <a:effectLst/>
              <a:latin typeface="+mn-lt"/>
              <a:ea typeface="+mn-ea"/>
              <a:cs typeface="+mn-cs"/>
            </a:rPr>
            <a:t>(Sec. 50121) and </a:t>
          </a:r>
          <a:r>
            <a:rPr lang="en-US" sz="1400" b="1" i="0">
              <a:solidFill>
                <a:schemeClr val="tx1"/>
              </a:solidFill>
              <a:effectLst/>
              <a:latin typeface="+mn-lt"/>
              <a:ea typeface="+mn-ea"/>
              <a:cs typeface="+mn-cs"/>
            </a:rPr>
            <a:t>the Home Electrification and Appliances Rebates Program </a:t>
          </a:r>
          <a:r>
            <a:rPr lang="en-US" sz="1400" b="0" i="0">
              <a:solidFill>
                <a:schemeClr val="tx1"/>
              </a:solidFill>
              <a:effectLst/>
              <a:latin typeface="+mn-lt"/>
              <a:ea typeface="+mn-ea"/>
              <a:cs typeface="+mn-cs"/>
            </a:rPr>
            <a:t>(Sec. 50122).</a:t>
          </a:r>
          <a:r>
            <a:rPr lang="en-US" sz="1400" b="1">
              <a:solidFill>
                <a:schemeClr val="tx1"/>
              </a:solidFill>
            </a:rPr>
            <a:t> </a:t>
          </a:r>
        </a:p>
        <a:p>
          <a:pPr algn="l"/>
          <a:endParaRPr lang="en-US" sz="1400">
            <a:solidFill>
              <a:schemeClr val="tx1"/>
            </a:solidFill>
          </a:endParaRPr>
        </a:p>
        <a:p>
          <a:pPr algn="l"/>
          <a:r>
            <a:rPr lang="en-US" sz="1400" b="0" i="0">
              <a:solidFill>
                <a:schemeClr val="tx1"/>
              </a:solidFill>
              <a:effectLst/>
              <a:latin typeface="+mn-lt"/>
              <a:ea typeface="+mn-ea"/>
              <a:cs typeface="+mn-cs"/>
            </a:rPr>
            <a:t>To make use of this tool, simply respond to all</a:t>
          </a:r>
          <a:r>
            <a:rPr lang="en-US" sz="1400" b="0" i="0" baseline="0">
              <a:solidFill>
                <a:schemeClr val="tx1"/>
              </a:solidFill>
              <a:effectLst/>
              <a:latin typeface="+mn-lt"/>
              <a:ea typeface="+mn-ea"/>
              <a:cs typeface="+mn-cs"/>
            </a:rPr>
            <a:t> three questions</a:t>
          </a:r>
          <a:r>
            <a:rPr lang="en-US" sz="1400" b="0" i="0">
              <a:solidFill>
                <a:schemeClr val="tx1"/>
              </a:solidFill>
              <a:effectLst/>
              <a:latin typeface="+mn-lt"/>
              <a:ea typeface="+mn-ea"/>
              <a:cs typeface="+mn-cs"/>
            </a:rPr>
            <a:t> in the blue box located on the right-hand side of this sheet. Following this, navigate to the tabs labeled </a:t>
          </a:r>
          <a:r>
            <a:rPr lang="en-US" sz="1400" b="1" i="0">
              <a:solidFill>
                <a:schemeClr val="tx1"/>
              </a:solidFill>
              <a:effectLst/>
              <a:latin typeface="+mn-lt"/>
              <a:ea typeface="+mn-ea"/>
              <a:cs typeface="+mn-cs"/>
            </a:rPr>
            <a:t>50121</a:t>
          </a:r>
          <a:r>
            <a:rPr lang="en-US" sz="1400" b="0" i="0">
              <a:solidFill>
                <a:schemeClr val="tx1"/>
              </a:solidFill>
              <a:effectLst/>
              <a:latin typeface="+mn-lt"/>
              <a:ea typeface="+mn-ea"/>
              <a:cs typeface="+mn-cs"/>
            </a:rPr>
            <a:t> or </a:t>
          </a:r>
          <a:r>
            <a:rPr lang="en-US" sz="1400" b="1" i="0">
              <a:solidFill>
                <a:schemeClr val="tx1"/>
              </a:solidFill>
              <a:effectLst/>
              <a:latin typeface="+mn-lt"/>
              <a:ea typeface="+mn-ea"/>
              <a:cs typeface="+mn-cs"/>
            </a:rPr>
            <a:t>50122</a:t>
          </a:r>
          <a:r>
            <a:rPr lang="en-US" sz="1400" b="0" i="0">
              <a:solidFill>
                <a:schemeClr val="tx1"/>
              </a:solidFill>
              <a:effectLst/>
              <a:latin typeface="+mn-lt"/>
              <a:ea typeface="+mn-ea"/>
              <a:cs typeface="+mn-cs"/>
            </a:rPr>
            <a:t> (or both), depending on your interest in a particular rebate program, to further explore the budget allocation process.</a:t>
          </a:r>
          <a:endParaRPr lang="en-US"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40</xdr:row>
      <xdr:rowOff>57150</xdr:rowOff>
    </xdr:from>
    <xdr:to>
      <xdr:col>3</xdr:col>
      <xdr:colOff>430530</xdr:colOff>
      <xdr:row>55</xdr:row>
      <xdr:rowOff>130810</xdr:rowOff>
    </xdr:to>
    <xdr:sp macro="" textlink="">
      <xdr:nvSpPr>
        <xdr:cNvPr id="3" name="Arrow: Pentagon 2">
          <a:extLst>
            <a:ext uri="{FF2B5EF4-FFF2-40B4-BE49-F238E27FC236}">
              <a16:creationId xmlns:a16="http://schemas.microsoft.com/office/drawing/2014/main" id="{01FAC214-C60D-4322-A1FB-F8FED2721C83}"/>
            </a:ext>
          </a:extLst>
        </xdr:cNvPr>
        <xdr:cNvSpPr/>
      </xdr:nvSpPr>
      <xdr:spPr>
        <a:xfrm>
          <a:off x="869950" y="5740400"/>
          <a:ext cx="1370330" cy="2804160"/>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Tranche 2</a:t>
          </a:r>
        </a:p>
      </xdr:txBody>
    </xdr:sp>
    <xdr:clientData/>
  </xdr:twoCellAnchor>
  <xdr:twoCellAnchor>
    <xdr:from>
      <xdr:col>1</xdr:col>
      <xdr:colOff>266700</xdr:colOff>
      <xdr:row>59</xdr:row>
      <xdr:rowOff>59055</xdr:rowOff>
    </xdr:from>
    <xdr:to>
      <xdr:col>3</xdr:col>
      <xdr:colOff>434340</xdr:colOff>
      <xdr:row>74</xdr:row>
      <xdr:rowOff>142875</xdr:rowOff>
    </xdr:to>
    <xdr:sp macro="" textlink="">
      <xdr:nvSpPr>
        <xdr:cNvPr id="4" name="Arrow: Pentagon 3">
          <a:extLst>
            <a:ext uri="{FF2B5EF4-FFF2-40B4-BE49-F238E27FC236}">
              <a16:creationId xmlns:a16="http://schemas.microsoft.com/office/drawing/2014/main" id="{EECEAD69-5545-4B38-9E52-7F7BCE2BC52B}"/>
            </a:ext>
          </a:extLst>
        </xdr:cNvPr>
        <xdr:cNvSpPr/>
      </xdr:nvSpPr>
      <xdr:spPr>
        <a:xfrm>
          <a:off x="876300" y="8589645"/>
          <a:ext cx="1390650" cy="2667000"/>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Tranche 3</a:t>
          </a:r>
        </a:p>
      </xdr:txBody>
    </xdr:sp>
    <xdr:clientData/>
  </xdr:twoCellAnchor>
  <xdr:twoCellAnchor>
    <xdr:from>
      <xdr:col>21</xdr:col>
      <xdr:colOff>229022</xdr:colOff>
      <xdr:row>0</xdr:row>
      <xdr:rowOff>172085</xdr:rowOff>
    </xdr:from>
    <xdr:to>
      <xdr:col>29</xdr:col>
      <xdr:colOff>0</xdr:colOff>
      <xdr:row>4</xdr:row>
      <xdr:rowOff>133773</xdr:rowOff>
    </xdr:to>
    <xdr:sp macro="" textlink="">
      <xdr:nvSpPr>
        <xdr:cNvPr id="13" name="Rectangle 12">
          <a:extLst>
            <a:ext uri="{FF2B5EF4-FFF2-40B4-BE49-F238E27FC236}">
              <a16:creationId xmlns:a16="http://schemas.microsoft.com/office/drawing/2014/main" id="{996D0656-3D29-47F5-821B-BF2D036E4B59}"/>
            </a:ext>
          </a:extLst>
        </xdr:cNvPr>
        <xdr:cNvSpPr/>
      </xdr:nvSpPr>
      <xdr:spPr>
        <a:xfrm>
          <a:off x="16453272" y="172085"/>
          <a:ext cx="6618395" cy="871855"/>
        </a:xfrm>
        <a:prstGeom prst="rect">
          <a:avLst/>
        </a:prstGeom>
        <a:solidFill>
          <a:schemeClr val="accent2">
            <a:lumMod val="60000"/>
            <a:lumOff val="40000"/>
          </a:schemeClr>
        </a:solidFill>
        <a:ln>
          <a:no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80" b="0" i="0">
              <a:solidFill>
                <a:schemeClr val="tx1"/>
              </a:solidFill>
              <a:effectLst/>
              <a:latin typeface="+mn-lt"/>
              <a:ea typeface="+mn-ea"/>
              <a:cs typeface="+mn-cs"/>
            </a:rPr>
            <a:t>The section below serves the purpose of transforming this allocation guidance tool into a </a:t>
          </a:r>
          <a:r>
            <a:rPr lang="en-US" sz="1180" b="1" i="0">
              <a:solidFill>
                <a:schemeClr val="tx1"/>
              </a:solidFill>
              <a:effectLst/>
              <a:latin typeface="+mn-lt"/>
              <a:ea typeface="+mn-ea"/>
              <a:cs typeface="+mn-cs"/>
            </a:rPr>
            <a:t>budget tracker</a:t>
          </a:r>
          <a:r>
            <a:rPr lang="en-US" sz="1180" b="0" i="0">
              <a:solidFill>
                <a:schemeClr val="tx1"/>
              </a:solidFill>
              <a:effectLst/>
              <a:latin typeface="+mn-lt"/>
              <a:ea typeface="+mn-ea"/>
              <a:cs typeface="+mn-cs"/>
            </a:rPr>
            <a:t>. If your state chooses to utilize it for monitoring the</a:t>
          </a:r>
          <a:r>
            <a:rPr lang="en-US" sz="1180" b="0" i="0" baseline="0">
              <a:solidFill>
                <a:schemeClr val="tx1"/>
              </a:solidFill>
              <a:effectLst/>
              <a:latin typeface="+mn-lt"/>
              <a:ea typeface="+mn-ea"/>
              <a:cs typeface="+mn-cs"/>
            </a:rPr>
            <a:t> state's</a:t>
          </a:r>
          <a:r>
            <a:rPr lang="en-US" sz="1180" b="0" i="0">
              <a:solidFill>
                <a:schemeClr val="tx1"/>
              </a:solidFill>
              <a:effectLst/>
              <a:latin typeface="+mn-lt"/>
              <a:ea typeface="+mn-ea"/>
              <a:cs typeface="+mn-cs"/>
            </a:rPr>
            <a:t> expenditures, you can input actual spending into the </a:t>
          </a:r>
          <a:r>
            <a:rPr lang="en-US" sz="1180" b="1" i="0">
              <a:solidFill>
                <a:schemeClr val="tx1"/>
              </a:solidFill>
              <a:effectLst/>
              <a:latin typeface="+mn-lt"/>
              <a:ea typeface="+mn-ea"/>
              <a:cs typeface="+mn-cs"/>
            </a:rPr>
            <a:t>designated yellow boxes</a:t>
          </a:r>
          <a:r>
            <a:rPr lang="en-US" sz="1180" b="0" i="0">
              <a:solidFill>
                <a:schemeClr val="tx1"/>
              </a:solidFill>
              <a:effectLst/>
              <a:latin typeface="+mn-lt"/>
              <a:ea typeface="+mn-ea"/>
              <a:cs typeface="+mn-cs"/>
            </a:rPr>
            <a:t>. This allows you to closely monitor the state's progress toward meeting relevant minimums, and maximums associated with the funding allocation requirements.</a:t>
          </a:r>
          <a:endParaRPr lang="en-US" sz="1180">
            <a:solidFill>
              <a:schemeClr val="tx1"/>
            </a:solidFill>
          </a:endParaRPr>
        </a:p>
      </xdr:txBody>
    </xdr:sp>
    <xdr:clientData/>
  </xdr:twoCellAnchor>
  <xdr:twoCellAnchor>
    <xdr:from>
      <xdr:col>22</xdr:col>
      <xdr:colOff>630313</xdr:colOff>
      <xdr:row>26</xdr:row>
      <xdr:rowOff>136464</xdr:rowOff>
    </xdr:from>
    <xdr:to>
      <xdr:col>27</xdr:col>
      <xdr:colOff>1088295</xdr:colOff>
      <xdr:row>36</xdr:row>
      <xdr:rowOff>174903</xdr:rowOff>
    </xdr:to>
    <xdr:grpSp>
      <xdr:nvGrpSpPr>
        <xdr:cNvPr id="47" name="Group 46">
          <a:extLst>
            <a:ext uri="{FF2B5EF4-FFF2-40B4-BE49-F238E27FC236}">
              <a16:creationId xmlns:a16="http://schemas.microsoft.com/office/drawing/2014/main" id="{35215E99-AA5D-4F6F-33B9-3322266B2AA5}"/>
            </a:ext>
          </a:extLst>
        </xdr:cNvPr>
        <xdr:cNvGrpSpPr/>
      </xdr:nvGrpSpPr>
      <xdr:grpSpPr>
        <a:xfrm>
          <a:off x="16908538" y="5584764"/>
          <a:ext cx="4944257" cy="2076789"/>
          <a:chOff x="16625164" y="5993091"/>
          <a:chExt cx="5052242" cy="1555263"/>
        </a:xfrm>
      </xdr:grpSpPr>
      <xdr:graphicFrame macro="">
        <xdr:nvGraphicFramePr>
          <xdr:cNvPr id="14" name="Chart 13">
            <a:extLst>
              <a:ext uri="{FF2B5EF4-FFF2-40B4-BE49-F238E27FC236}">
                <a16:creationId xmlns:a16="http://schemas.microsoft.com/office/drawing/2014/main" id="{09D149DF-CB7F-1641-1ADC-C84A43D691ED}"/>
              </a:ext>
            </a:extLst>
          </xdr:cNvPr>
          <xdr:cNvGraphicFramePr/>
        </xdr:nvGraphicFramePr>
        <xdr:xfrm>
          <a:off x="16669492" y="5993091"/>
          <a:ext cx="4829967" cy="111426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6" name="TextBox 15">
            <a:extLst>
              <a:ext uri="{FF2B5EF4-FFF2-40B4-BE49-F238E27FC236}">
                <a16:creationId xmlns:a16="http://schemas.microsoft.com/office/drawing/2014/main" id="{D80C9EFE-C681-BA4E-8883-33F351FDB1F4}"/>
              </a:ext>
            </a:extLst>
          </xdr:cNvPr>
          <xdr:cNvSpPr txBox="1"/>
        </xdr:nvSpPr>
        <xdr:spPr>
          <a:xfrm>
            <a:off x="16625164" y="7120574"/>
            <a:ext cx="878574"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1</a:t>
            </a:r>
          </a:p>
          <a:p>
            <a:pPr algn="ctr"/>
            <a:r>
              <a:rPr lang="en-US" sz="1000" baseline="0"/>
              <a:t>Minimum 5%</a:t>
            </a:r>
            <a:endParaRPr lang="en-US" sz="1000"/>
          </a:p>
        </xdr:txBody>
      </xdr:sp>
      <xdr:sp macro="" textlink="">
        <xdr:nvSpPr>
          <xdr:cNvPr id="17" name="TextBox 16">
            <a:extLst>
              <a:ext uri="{FF2B5EF4-FFF2-40B4-BE49-F238E27FC236}">
                <a16:creationId xmlns:a16="http://schemas.microsoft.com/office/drawing/2014/main" id="{B28952F8-8C50-4BC5-A598-641893770331}"/>
              </a:ext>
            </a:extLst>
          </xdr:cNvPr>
          <xdr:cNvSpPr txBox="1"/>
        </xdr:nvSpPr>
        <xdr:spPr>
          <a:xfrm>
            <a:off x="17932823" y="7125370"/>
            <a:ext cx="943592"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2</a:t>
            </a:r>
          </a:p>
          <a:p>
            <a:pPr algn="ctr"/>
            <a:r>
              <a:rPr lang="en-US" sz="1000" baseline="0"/>
              <a:t>Minimum 35%</a:t>
            </a:r>
            <a:endParaRPr lang="en-US" sz="1000"/>
          </a:p>
        </xdr:txBody>
      </xdr:sp>
      <xdr:sp macro="" textlink="">
        <xdr:nvSpPr>
          <xdr:cNvPr id="18" name="TextBox 17">
            <a:extLst>
              <a:ext uri="{FF2B5EF4-FFF2-40B4-BE49-F238E27FC236}">
                <a16:creationId xmlns:a16="http://schemas.microsoft.com/office/drawing/2014/main" id="{88E768F8-EBAA-45B4-88BD-02CA9C0888CF}"/>
              </a:ext>
            </a:extLst>
          </xdr:cNvPr>
          <xdr:cNvSpPr txBox="1"/>
        </xdr:nvSpPr>
        <xdr:spPr>
          <a:xfrm>
            <a:off x="19086514" y="7113799"/>
            <a:ext cx="943592"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3</a:t>
            </a:r>
          </a:p>
          <a:p>
            <a:pPr algn="ctr"/>
            <a:r>
              <a:rPr lang="en-US" sz="1000" baseline="0"/>
              <a:t>Minimum 60%</a:t>
            </a:r>
            <a:endParaRPr lang="en-US" sz="1000"/>
          </a:p>
        </xdr:txBody>
      </xdr:sp>
      <xdr:sp macro="" textlink="">
        <xdr:nvSpPr>
          <xdr:cNvPr id="19" name="TextBox 18">
            <a:extLst>
              <a:ext uri="{FF2B5EF4-FFF2-40B4-BE49-F238E27FC236}">
                <a16:creationId xmlns:a16="http://schemas.microsoft.com/office/drawing/2014/main" id="{EA9F9F9A-2A8F-4C46-A646-9947336BEA7D}"/>
              </a:ext>
            </a:extLst>
          </xdr:cNvPr>
          <xdr:cNvSpPr txBox="1"/>
        </xdr:nvSpPr>
        <xdr:spPr>
          <a:xfrm>
            <a:off x="20687199" y="7094738"/>
            <a:ext cx="990207" cy="440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4</a:t>
            </a:r>
          </a:p>
          <a:p>
            <a:pPr algn="ctr"/>
            <a:r>
              <a:rPr lang="en-US" sz="1000" baseline="0"/>
              <a:t>100% of LI Min.</a:t>
            </a:r>
          </a:p>
        </xdr:txBody>
      </xdr:sp>
      <xdr:sp macro="" textlink="$F$33">
        <xdr:nvSpPr>
          <xdr:cNvPr id="6" name="TextBox 5">
            <a:extLst>
              <a:ext uri="{FF2B5EF4-FFF2-40B4-BE49-F238E27FC236}">
                <a16:creationId xmlns:a16="http://schemas.microsoft.com/office/drawing/2014/main" id="{F6D94B2A-0ABA-EF29-71B9-A7DB42C485BE}"/>
              </a:ext>
            </a:extLst>
          </xdr:cNvPr>
          <xdr:cNvSpPr txBox="1"/>
        </xdr:nvSpPr>
        <xdr:spPr>
          <a:xfrm>
            <a:off x="16631777" y="7332881"/>
            <a:ext cx="879718" cy="195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8319BFB-0094-42F0-9110-7B53827FA5FA}" type="TxLink">
              <a:rPr lang="en-US" sz="1100" b="1" i="0" u="none" strike="noStrike">
                <a:solidFill>
                  <a:srgbClr val="000000"/>
                </a:solidFill>
                <a:latin typeface="Calibri"/>
                <a:cs typeface="Calibri"/>
              </a:rPr>
              <a:pPr/>
              <a:t> $-   </a:t>
            </a:fld>
            <a:endParaRPr lang="en-US" sz="1000" b="1"/>
          </a:p>
        </xdr:txBody>
      </xdr:sp>
      <xdr:sp macro="" textlink="$F$50">
        <xdr:nvSpPr>
          <xdr:cNvPr id="7" name="TextBox 6">
            <a:extLst>
              <a:ext uri="{FF2B5EF4-FFF2-40B4-BE49-F238E27FC236}">
                <a16:creationId xmlns:a16="http://schemas.microsoft.com/office/drawing/2014/main" id="{7928216C-1EB4-4447-9EE6-B452E524B6A1}"/>
              </a:ext>
            </a:extLst>
          </xdr:cNvPr>
          <xdr:cNvSpPr txBox="1"/>
        </xdr:nvSpPr>
        <xdr:spPr>
          <a:xfrm>
            <a:off x="17933377" y="7332718"/>
            <a:ext cx="879718" cy="195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879E7E2-B29C-44D1-97B5-055DE8987C69}" type="TxLink">
              <a:rPr lang="en-US" sz="1100" b="1" i="0" u="none" strike="noStrike">
                <a:solidFill>
                  <a:srgbClr val="000000"/>
                </a:solidFill>
                <a:latin typeface="Calibri"/>
                <a:cs typeface="Calibri"/>
              </a:rPr>
              <a:pPr/>
              <a:t> $-   </a:t>
            </a:fld>
            <a:endParaRPr lang="en-US" sz="900" b="1"/>
          </a:p>
        </xdr:txBody>
      </xdr:sp>
      <xdr:sp macro="" textlink="$F$69">
        <xdr:nvSpPr>
          <xdr:cNvPr id="8" name="TextBox 7">
            <a:extLst>
              <a:ext uri="{FF2B5EF4-FFF2-40B4-BE49-F238E27FC236}">
                <a16:creationId xmlns:a16="http://schemas.microsoft.com/office/drawing/2014/main" id="{C4C7B0B9-566B-4CBD-AFD2-FC8300C6F585}"/>
              </a:ext>
            </a:extLst>
          </xdr:cNvPr>
          <xdr:cNvSpPr txBox="1"/>
        </xdr:nvSpPr>
        <xdr:spPr>
          <a:xfrm>
            <a:off x="19084242" y="7353191"/>
            <a:ext cx="950143" cy="195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53A2D7-FDCD-4C30-8378-604A6FAD544F}" type="TxLink">
              <a:rPr lang="en-US" sz="1100" b="1" i="0" u="none" strike="noStrike">
                <a:solidFill>
                  <a:srgbClr val="000000"/>
                </a:solidFill>
                <a:latin typeface="Calibri"/>
                <a:cs typeface="Calibri"/>
              </a:rPr>
              <a:pPr/>
              <a:t> $-   </a:t>
            </a:fld>
            <a:endParaRPr lang="en-US" sz="900" b="1"/>
          </a:p>
        </xdr:txBody>
      </xdr:sp>
      <xdr:sp macro="" textlink="$L$87">
        <xdr:nvSpPr>
          <xdr:cNvPr id="9" name="TextBox 8">
            <a:extLst>
              <a:ext uri="{FF2B5EF4-FFF2-40B4-BE49-F238E27FC236}">
                <a16:creationId xmlns:a16="http://schemas.microsoft.com/office/drawing/2014/main" id="{62DAB2D5-51D4-4FEB-A397-789A5C3C1706}"/>
              </a:ext>
            </a:extLst>
          </xdr:cNvPr>
          <xdr:cNvSpPr txBox="1"/>
        </xdr:nvSpPr>
        <xdr:spPr>
          <a:xfrm>
            <a:off x="20686861" y="7330392"/>
            <a:ext cx="950143" cy="195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DEDD33F-1182-4D55-8F1F-DEBEFEC629D9}" type="TxLink">
              <a:rPr lang="en-US" sz="1100" b="1" i="0" u="none" strike="noStrike">
                <a:solidFill>
                  <a:srgbClr val="000000"/>
                </a:solidFill>
                <a:latin typeface="Calibri"/>
                <a:cs typeface="Calibri"/>
              </a:rPr>
              <a:pPr/>
              <a:t> $-   </a:t>
            </a:fld>
            <a:endParaRPr lang="en-US" sz="900" b="1"/>
          </a:p>
        </xdr:txBody>
      </xdr:sp>
    </xdr:grpSp>
    <xdr:clientData/>
  </xdr:twoCellAnchor>
  <xdr:twoCellAnchor>
    <xdr:from>
      <xdr:col>22</xdr:col>
      <xdr:colOff>683008</xdr:colOff>
      <xdr:row>39</xdr:row>
      <xdr:rowOff>37782</xdr:rowOff>
    </xdr:from>
    <xdr:to>
      <xdr:col>27</xdr:col>
      <xdr:colOff>1196984</xdr:colOff>
      <xdr:row>50</xdr:row>
      <xdr:rowOff>48800</xdr:rowOff>
    </xdr:to>
    <xdr:grpSp>
      <xdr:nvGrpSpPr>
        <xdr:cNvPr id="49" name="Group 48">
          <a:extLst>
            <a:ext uri="{FF2B5EF4-FFF2-40B4-BE49-F238E27FC236}">
              <a16:creationId xmlns:a16="http://schemas.microsoft.com/office/drawing/2014/main" id="{8C5176F1-AE10-EA9C-7F14-F778B0F09111}"/>
            </a:ext>
          </a:extLst>
        </xdr:cNvPr>
        <xdr:cNvGrpSpPr/>
      </xdr:nvGrpSpPr>
      <xdr:grpSpPr>
        <a:xfrm>
          <a:off x="16961233" y="8210232"/>
          <a:ext cx="5000251" cy="1973168"/>
          <a:chOff x="16678768" y="8450912"/>
          <a:chExt cx="5107528" cy="1992492"/>
        </a:xfrm>
      </xdr:grpSpPr>
      <xdr:graphicFrame macro="">
        <xdr:nvGraphicFramePr>
          <xdr:cNvPr id="12" name="Chart 11">
            <a:extLst>
              <a:ext uri="{FF2B5EF4-FFF2-40B4-BE49-F238E27FC236}">
                <a16:creationId xmlns:a16="http://schemas.microsoft.com/office/drawing/2014/main" id="{AD7454D9-4A8A-4BFE-AE54-9A7E39ACBA27}"/>
              </a:ext>
            </a:extLst>
          </xdr:cNvPr>
          <xdr:cNvGraphicFramePr>
            <a:graphicFrameLocks/>
          </xdr:cNvGraphicFramePr>
        </xdr:nvGraphicFramePr>
        <xdr:xfrm>
          <a:off x="16678768" y="8450912"/>
          <a:ext cx="4823065" cy="142648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0" name="TextBox 19">
            <a:extLst>
              <a:ext uri="{FF2B5EF4-FFF2-40B4-BE49-F238E27FC236}">
                <a16:creationId xmlns:a16="http://schemas.microsoft.com/office/drawing/2014/main" id="{7A4187EB-6CBB-40A4-ADE1-49C40473146E}"/>
              </a:ext>
            </a:extLst>
          </xdr:cNvPr>
          <xdr:cNvSpPr txBox="1"/>
        </xdr:nvSpPr>
        <xdr:spPr>
          <a:xfrm>
            <a:off x="16697343" y="9845375"/>
            <a:ext cx="943592" cy="46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2</a:t>
            </a:r>
          </a:p>
          <a:p>
            <a:pPr algn="ctr"/>
            <a:r>
              <a:rPr lang="en-US" sz="1000" baseline="0"/>
              <a:t>Minimum 5%</a:t>
            </a:r>
            <a:endParaRPr lang="en-US" sz="1000"/>
          </a:p>
        </xdr:txBody>
      </xdr:sp>
      <xdr:sp macro="" textlink="">
        <xdr:nvSpPr>
          <xdr:cNvPr id="21" name="TextBox 20">
            <a:extLst>
              <a:ext uri="{FF2B5EF4-FFF2-40B4-BE49-F238E27FC236}">
                <a16:creationId xmlns:a16="http://schemas.microsoft.com/office/drawing/2014/main" id="{082FF6E3-E4EE-4CE2-AFDC-7C2CE977ADCD}"/>
              </a:ext>
            </a:extLst>
          </xdr:cNvPr>
          <xdr:cNvSpPr txBox="1"/>
        </xdr:nvSpPr>
        <xdr:spPr>
          <a:xfrm>
            <a:off x="17575550" y="9854069"/>
            <a:ext cx="943592" cy="50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3</a:t>
            </a:r>
          </a:p>
          <a:p>
            <a:pPr algn="ctr"/>
            <a:r>
              <a:rPr lang="en-US" sz="1000" baseline="0"/>
              <a:t>Minimum 25%</a:t>
            </a:r>
            <a:endParaRPr lang="en-US" sz="1000"/>
          </a:p>
        </xdr:txBody>
      </xdr:sp>
      <xdr:sp macro="" textlink="">
        <xdr:nvSpPr>
          <xdr:cNvPr id="22" name="TextBox 21">
            <a:extLst>
              <a:ext uri="{FF2B5EF4-FFF2-40B4-BE49-F238E27FC236}">
                <a16:creationId xmlns:a16="http://schemas.microsoft.com/office/drawing/2014/main" id="{8BBF3A38-E6A7-4887-B93A-DF6D6E965849}"/>
              </a:ext>
            </a:extLst>
          </xdr:cNvPr>
          <xdr:cNvSpPr txBox="1"/>
        </xdr:nvSpPr>
        <xdr:spPr>
          <a:xfrm>
            <a:off x="20598534" y="9852701"/>
            <a:ext cx="1187762" cy="49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4</a:t>
            </a:r>
          </a:p>
          <a:p>
            <a:pPr algn="ctr"/>
            <a:r>
              <a:rPr lang="en-US" sz="1000" baseline="0"/>
              <a:t>100% of LI MF Min.</a:t>
            </a:r>
          </a:p>
        </xdr:txBody>
      </xdr:sp>
      <xdr:sp macro="" textlink="$F$52">
        <xdr:nvSpPr>
          <xdr:cNvPr id="24" name="TextBox 23">
            <a:extLst>
              <a:ext uri="{FF2B5EF4-FFF2-40B4-BE49-F238E27FC236}">
                <a16:creationId xmlns:a16="http://schemas.microsoft.com/office/drawing/2014/main" id="{4924793E-35B2-474F-94D5-DC19835BF0E9}"/>
              </a:ext>
            </a:extLst>
          </xdr:cNvPr>
          <xdr:cNvSpPr txBox="1"/>
        </xdr:nvSpPr>
        <xdr:spPr>
          <a:xfrm>
            <a:off x="16710828" y="10153714"/>
            <a:ext cx="773499" cy="261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5B407F6-4D23-43DB-8D32-D251EE460D3B}" type="TxLink">
              <a:rPr lang="en-US" sz="1100" b="1" i="0" u="none" strike="noStrike">
                <a:solidFill>
                  <a:srgbClr val="000000"/>
                </a:solidFill>
                <a:latin typeface="Calibri"/>
                <a:cs typeface="Calibri"/>
              </a:rPr>
              <a:pPr/>
              <a:t> $-   </a:t>
            </a:fld>
            <a:endParaRPr lang="en-US" sz="800" b="1"/>
          </a:p>
        </xdr:txBody>
      </xdr:sp>
      <xdr:sp macro="" textlink="$F$71">
        <xdr:nvSpPr>
          <xdr:cNvPr id="25" name="TextBox 24">
            <a:extLst>
              <a:ext uri="{FF2B5EF4-FFF2-40B4-BE49-F238E27FC236}">
                <a16:creationId xmlns:a16="http://schemas.microsoft.com/office/drawing/2014/main" id="{F4FE4CFE-7C8F-4BCA-9BE8-B1C30804E17E}"/>
              </a:ext>
            </a:extLst>
          </xdr:cNvPr>
          <xdr:cNvSpPr txBox="1"/>
        </xdr:nvSpPr>
        <xdr:spPr>
          <a:xfrm>
            <a:off x="17549341" y="10182028"/>
            <a:ext cx="879740" cy="261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E4B7C9-92E8-4BD7-A0B5-CEB17ED6C86C}" type="TxLink">
              <a:rPr lang="en-US" sz="1100" b="1" i="0" u="none" strike="noStrike">
                <a:solidFill>
                  <a:srgbClr val="000000"/>
                </a:solidFill>
                <a:latin typeface="Calibri"/>
                <a:cs typeface="Calibri"/>
              </a:rPr>
              <a:pPr/>
              <a:t> $-   </a:t>
            </a:fld>
            <a:endParaRPr lang="en-US" sz="800" b="1"/>
          </a:p>
        </xdr:txBody>
      </xdr:sp>
      <xdr:sp macro="" textlink="$L$89">
        <xdr:nvSpPr>
          <xdr:cNvPr id="26" name="TextBox 25">
            <a:extLst>
              <a:ext uri="{FF2B5EF4-FFF2-40B4-BE49-F238E27FC236}">
                <a16:creationId xmlns:a16="http://schemas.microsoft.com/office/drawing/2014/main" id="{33588119-9C01-4F89-B195-8A2E4713DC6A}"/>
              </a:ext>
            </a:extLst>
          </xdr:cNvPr>
          <xdr:cNvSpPr txBox="1"/>
        </xdr:nvSpPr>
        <xdr:spPr>
          <a:xfrm>
            <a:off x="20714312" y="10138688"/>
            <a:ext cx="879740" cy="261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3743FEE-D5DE-49CB-8D0A-9572656ACEB1}" type="TxLink">
              <a:rPr lang="en-US" sz="1100" b="1" i="0" u="none" strike="noStrike">
                <a:solidFill>
                  <a:srgbClr val="000000"/>
                </a:solidFill>
                <a:latin typeface="Calibri"/>
                <a:cs typeface="Calibri"/>
              </a:rPr>
              <a:pPr/>
              <a:t> $-   </a:t>
            </a:fld>
            <a:endParaRPr lang="en-US" sz="800" b="1"/>
          </a:p>
        </xdr:txBody>
      </xdr:sp>
    </xdr:grpSp>
    <xdr:clientData/>
  </xdr:twoCellAnchor>
  <xdr:twoCellAnchor>
    <xdr:from>
      <xdr:col>22</xdr:col>
      <xdr:colOff>627539</xdr:colOff>
      <xdr:row>51</xdr:row>
      <xdr:rowOff>28890</xdr:rowOff>
    </xdr:from>
    <xdr:to>
      <xdr:col>27</xdr:col>
      <xdr:colOff>1164810</xdr:colOff>
      <xdr:row>62</xdr:row>
      <xdr:rowOff>2722</xdr:rowOff>
    </xdr:to>
    <xdr:grpSp>
      <xdr:nvGrpSpPr>
        <xdr:cNvPr id="50" name="Group 49">
          <a:extLst>
            <a:ext uri="{FF2B5EF4-FFF2-40B4-BE49-F238E27FC236}">
              <a16:creationId xmlns:a16="http://schemas.microsoft.com/office/drawing/2014/main" id="{4B5CCFF4-8F52-A201-52E9-ACE58E0271D3}"/>
            </a:ext>
          </a:extLst>
        </xdr:cNvPr>
        <xdr:cNvGrpSpPr/>
      </xdr:nvGrpSpPr>
      <xdr:grpSpPr>
        <a:xfrm>
          <a:off x="16905764" y="10344465"/>
          <a:ext cx="5023546" cy="2050282"/>
          <a:chOff x="16703993" y="10747058"/>
          <a:chExt cx="5143104" cy="2078974"/>
        </a:xfrm>
      </xdr:grpSpPr>
      <xdr:graphicFrame macro="">
        <xdr:nvGraphicFramePr>
          <xdr:cNvPr id="28" name="Chart 27">
            <a:extLst>
              <a:ext uri="{FF2B5EF4-FFF2-40B4-BE49-F238E27FC236}">
                <a16:creationId xmlns:a16="http://schemas.microsoft.com/office/drawing/2014/main" id="{8051F466-2AD1-459F-BB4F-08C5188F0762}"/>
              </a:ext>
            </a:extLst>
          </xdr:cNvPr>
          <xdr:cNvGraphicFramePr>
            <a:graphicFrameLocks/>
          </xdr:cNvGraphicFramePr>
        </xdr:nvGraphicFramePr>
        <xdr:xfrm>
          <a:off x="16703993" y="10747058"/>
          <a:ext cx="4837587" cy="142499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9" name="TextBox 28">
            <a:extLst>
              <a:ext uri="{FF2B5EF4-FFF2-40B4-BE49-F238E27FC236}">
                <a16:creationId xmlns:a16="http://schemas.microsoft.com/office/drawing/2014/main" id="{496F8B44-DDBF-4F14-8F53-588DAC91C013}"/>
              </a:ext>
            </a:extLst>
          </xdr:cNvPr>
          <xdr:cNvSpPr txBox="1"/>
        </xdr:nvSpPr>
        <xdr:spPr>
          <a:xfrm>
            <a:off x="20657604" y="12183221"/>
            <a:ext cx="1189493" cy="642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Maximum Program</a:t>
            </a:r>
          </a:p>
          <a:p>
            <a:pPr algn="ctr"/>
            <a:r>
              <a:rPr lang="en-US" sz="1000" baseline="0"/>
              <a:t>Admin. Funds</a:t>
            </a:r>
          </a:p>
        </xdr:txBody>
      </xdr:sp>
      <xdr:sp macro="" textlink="$L$85">
        <xdr:nvSpPr>
          <xdr:cNvPr id="30" name="TextBox 29">
            <a:extLst>
              <a:ext uri="{FF2B5EF4-FFF2-40B4-BE49-F238E27FC236}">
                <a16:creationId xmlns:a16="http://schemas.microsoft.com/office/drawing/2014/main" id="{EBA18E20-E344-4781-BAFD-1D357DD1D88F}"/>
              </a:ext>
            </a:extLst>
          </xdr:cNvPr>
          <xdr:cNvSpPr txBox="1"/>
        </xdr:nvSpPr>
        <xdr:spPr>
          <a:xfrm>
            <a:off x="20760713" y="12470495"/>
            <a:ext cx="954096" cy="267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0997B6F-ADD5-4183-9E50-1B7428F6CA25}" type="TxLink">
              <a:rPr lang="en-US" sz="1100" b="1" i="0" u="none" strike="noStrike">
                <a:solidFill>
                  <a:srgbClr val="000000"/>
                </a:solidFill>
                <a:latin typeface="Calibri"/>
                <a:cs typeface="Calibri"/>
              </a:rPr>
              <a:pPr/>
              <a:t> $-   </a:t>
            </a:fld>
            <a:endParaRPr lang="en-US" sz="700" b="1"/>
          </a:p>
        </xdr:txBody>
      </xdr:sp>
    </xdr:grpSp>
    <xdr:clientData/>
  </xdr:twoCellAnchor>
  <xdr:oneCellAnchor>
    <xdr:from>
      <xdr:col>26</xdr:col>
      <xdr:colOff>437302</xdr:colOff>
      <xdr:row>35</xdr:row>
      <xdr:rowOff>103294</xdr:rowOff>
    </xdr:from>
    <xdr:ext cx="216534" cy="264560"/>
    <xdr:sp macro="" textlink="#REF!">
      <xdr:nvSpPr>
        <xdr:cNvPr id="39" name="TextBox 38">
          <a:extLst>
            <a:ext uri="{FF2B5EF4-FFF2-40B4-BE49-F238E27FC236}">
              <a16:creationId xmlns:a16="http://schemas.microsoft.com/office/drawing/2014/main" id="{7ACFF6DD-326D-4B8A-AD22-1CFB7557EC37}"/>
            </a:ext>
          </a:extLst>
        </xdr:cNvPr>
        <xdr:cNvSpPr txBox="1"/>
      </xdr:nvSpPr>
      <xdr:spPr>
        <a:xfrm>
          <a:off x="20069385" y="12041294"/>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4E54E11-108B-4588-92C1-03BD2F286976}" type="TxLink">
            <a:rPr lang="en-US" sz="1100" b="0" i="0" u="none" strike="noStrike">
              <a:solidFill>
                <a:srgbClr val="000000"/>
              </a:solidFill>
              <a:latin typeface="Calibri"/>
              <a:cs typeface="Calibri"/>
            </a:rPr>
            <a:pPr/>
            <a:t> </a:t>
          </a:fld>
          <a:endParaRPr lang="en-US" sz="800"/>
        </a:p>
      </xdr:txBody>
    </xdr:sp>
    <xdr:clientData/>
  </xdr:oneCellAnchor>
  <xdr:twoCellAnchor>
    <xdr:from>
      <xdr:col>22</xdr:col>
      <xdr:colOff>629394</xdr:colOff>
      <xdr:row>14</xdr:row>
      <xdr:rowOff>18415</xdr:rowOff>
    </xdr:from>
    <xdr:to>
      <xdr:col>27</xdr:col>
      <xdr:colOff>1345404</xdr:colOff>
      <xdr:row>25</xdr:row>
      <xdr:rowOff>19687</xdr:rowOff>
    </xdr:to>
    <xdr:grpSp>
      <xdr:nvGrpSpPr>
        <xdr:cNvPr id="46" name="Group 45">
          <a:extLst>
            <a:ext uri="{FF2B5EF4-FFF2-40B4-BE49-F238E27FC236}">
              <a16:creationId xmlns:a16="http://schemas.microsoft.com/office/drawing/2014/main" id="{5236A69E-18B3-83AF-76DB-5CEE2C7127CB}"/>
            </a:ext>
          </a:extLst>
        </xdr:cNvPr>
        <xdr:cNvGrpSpPr/>
      </xdr:nvGrpSpPr>
      <xdr:grpSpPr>
        <a:xfrm>
          <a:off x="16907619" y="3228340"/>
          <a:ext cx="5202285" cy="2058672"/>
          <a:chOff x="16789507" y="2976986"/>
          <a:chExt cx="5190494" cy="2026685"/>
        </a:xfrm>
      </xdr:grpSpPr>
      <xdr:graphicFrame macro="">
        <xdr:nvGraphicFramePr>
          <xdr:cNvPr id="31" name="Chart 30">
            <a:extLst>
              <a:ext uri="{FF2B5EF4-FFF2-40B4-BE49-F238E27FC236}">
                <a16:creationId xmlns:a16="http://schemas.microsoft.com/office/drawing/2014/main" id="{168E0931-1138-4E22-91D2-9195331AD4DA}"/>
              </a:ext>
            </a:extLst>
          </xdr:cNvPr>
          <xdr:cNvGraphicFramePr>
            <a:graphicFrameLocks/>
          </xdr:cNvGraphicFramePr>
        </xdr:nvGraphicFramePr>
        <xdr:xfrm>
          <a:off x="16789507" y="2976986"/>
          <a:ext cx="4835682" cy="145886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32" name="TextBox 31">
            <a:extLst>
              <a:ext uri="{FF2B5EF4-FFF2-40B4-BE49-F238E27FC236}">
                <a16:creationId xmlns:a16="http://schemas.microsoft.com/office/drawing/2014/main" id="{C2890BC4-7D42-41D2-B4E9-F168933F4DA1}"/>
              </a:ext>
            </a:extLst>
          </xdr:cNvPr>
          <xdr:cNvSpPr txBox="1"/>
        </xdr:nvSpPr>
        <xdr:spPr>
          <a:xfrm>
            <a:off x="17586928" y="4442620"/>
            <a:ext cx="94577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1</a:t>
            </a:r>
          </a:p>
          <a:p>
            <a:pPr algn="ctr"/>
            <a:r>
              <a:rPr lang="en-US" sz="800" baseline="0"/>
              <a:t>25% of total funds</a:t>
            </a:r>
            <a:endParaRPr lang="en-US" sz="800"/>
          </a:p>
        </xdr:txBody>
      </xdr:sp>
      <xdr:sp macro="" textlink="$L27">
        <xdr:nvSpPr>
          <xdr:cNvPr id="37" name="TextBox 36">
            <a:extLst>
              <a:ext uri="{FF2B5EF4-FFF2-40B4-BE49-F238E27FC236}">
                <a16:creationId xmlns:a16="http://schemas.microsoft.com/office/drawing/2014/main" id="{DDCFCFCA-ED36-4F95-A0E8-BF05FB92AF43}"/>
              </a:ext>
            </a:extLst>
          </xdr:cNvPr>
          <xdr:cNvSpPr txBox="1"/>
        </xdr:nvSpPr>
        <xdr:spPr>
          <a:xfrm>
            <a:off x="17590220" y="4708419"/>
            <a:ext cx="1074560" cy="21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FC39BCC-E7C2-4A48-86E3-4FB2634E2A96}" type="TxLink">
              <a:rPr lang="en-US" sz="1100" b="1" i="0" u="none" strike="noStrike">
                <a:solidFill>
                  <a:srgbClr val="000000"/>
                </a:solidFill>
                <a:latin typeface="Calibri"/>
                <a:cs typeface="Calibri"/>
              </a:rPr>
              <a:pPr/>
              <a:t> $-   </a:t>
            </a:fld>
            <a:endParaRPr lang="en-US" sz="800" b="1"/>
          </a:p>
        </xdr:txBody>
      </xdr:sp>
      <xdr:sp macro="" textlink="$L44">
        <xdr:nvSpPr>
          <xdr:cNvPr id="38" name="TextBox 37">
            <a:extLst>
              <a:ext uri="{FF2B5EF4-FFF2-40B4-BE49-F238E27FC236}">
                <a16:creationId xmlns:a16="http://schemas.microsoft.com/office/drawing/2014/main" id="{9DA3546C-1670-46E1-9D27-9820F782B7EF}"/>
              </a:ext>
            </a:extLst>
          </xdr:cNvPr>
          <xdr:cNvSpPr txBox="1"/>
        </xdr:nvSpPr>
        <xdr:spPr>
          <a:xfrm>
            <a:off x="18896681" y="4713288"/>
            <a:ext cx="1146109" cy="228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5B2723B2-2768-46B4-80BA-6B6D83BBFCA9}" type="TxLink">
              <a:rPr lang="en-US" sz="1100" b="1" i="0" u="none" strike="noStrike">
                <a:solidFill>
                  <a:schemeClr val="tx1"/>
                </a:solidFill>
                <a:latin typeface="Calibri"/>
                <a:cs typeface="Calibri"/>
              </a:rPr>
              <a:pPr/>
              <a:t> $-   </a:t>
            </a:fld>
            <a:endParaRPr lang="en-US" sz="1000" b="1">
              <a:solidFill>
                <a:schemeClr val="tx1"/>
              </a:solidFill>
            </a:endParaRPr>
          </a:p>
        </xdr:txBody>
      </xdr:sp>
      <xdr:sp macro="" textlink="">
        <xdr:nvSpPr>
          <xdr:cNvPr id="40" name="TextBox 39">
            <a:extLst>
              <a:ext uri="{FF2B5EF4-FFF2-40B4-BE49-F238E27FC236}">
                <a16:creationId xmlns:a16="http://schemas.microsoft.com/office/drawing/2014/main" id="{2B9BAEEA-9278-4FC9-A791-1F167CDF6DFE}"/>
              </a:ext>
            </a:extLst>
          </xdr:cNvPr>
          <xdr:cNvSpPr txBox="1"/>
        </xdr:nvSpPr>
        <xdr:spPr>
          <a:xfrm>
            <a:off x="18920904" y="4425475"/>
            <a:ext cx="94577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2</a:t>
            </a:r>
          </a:p>
          <a:p>
            <a:pPr algn="ctr"/>
            <a:r>
              <a:rPr lang="en-US" sz="800" baseline="0"/>
              <a:t>55% of total funds</a:t>
            </a:r>
            <a:endParaRPr lang="en-US" sz="800"/>
          </a:p>
        </xdr:txBody>
      </xdr:sp>
      <xdr:sp macro="" textlink="">
        <xdr:nvSpPr>
          <xdr:cNvPr id="41" name="TextBox 40">
            <a:extLst>
              <a:ext uri="{FF2B5EF4-FFF2-40B4-BE49-F238E27FC236}">
                <a16:creationId xmlns:a16="http://schemas.microsoft.com/office/drawing/2014/main" id="{75BB02CC-E4B6-4BE6-A443-16415CE2BF23}"/>
              </a:ext>
            </a:extLst>
          </xdr:cNvPr>
          <xdr:cNvSpPr txBox="1"/>
        </xdr:nvSpPr>
        <xdr:spPr>
          <a:xfrm>
            <a:off x="20052950" y="4433095"/>
            <a:ext cx="94577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3</a:t>
            </a:r>
          </a:p>
          <a:p>
            <a:pPr algn="ctr"/>
            <a:r>
              <a:rPr lang="en-US" sz="800" baseline="0"/>
              <a:t>80% of total funds</a:t>
            </a:r>
            <a:endParaRPr lang="en-US" sz="800"/>
          </a:p>
        </xdr:txBody>
      </xdr:sp>
      <xdr:sp macro="" textlink="">
        <xdr:nvSpPr>
          <xdr:cNvPr id="42" name="TextBox 41">
            <a:extLst>
              <a:ext uri="{FF2B5EF4-FFF2-40B4-BE49-F238E27FC236}">
                <a16:creationId xmlns:a16="http://schemas.microsoft.com/office/drawing/2014/main" id="{44DE40CC-81F8-4A1B-88E3-414AECB01E2C}"/>
              </a:ext>
            </a:extLst>
          </xdr:cNvPr>
          <xdr:cNvSpPr txBox="1"/>
        </xdr:nvSpPr>
        <xdr:spPr>
          <a:xfrm>
            <a:off x="20975640" y="4416056"/>
            <a:ext cx="997774"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4</a:t>
            </a:r>
          </a:p>
          <a:p>
            <a:pPr algn="ctr"/>
            <a:r>
              <a:rPr lang="en-US" sz="800" baseline="0"/>
              <a:t>100% of total funds</a:t>
            </a:r>
            <a:endParaRPr lang="en-US" sz="800"/>
          </a:p>
        </xdr:txBody>
      </xdr:sp>
      <xdr:sp macro="" textlink="$L$63">
        <xdr:nvSpPr>
          <xdr:cNvPr id="43" name="TextBox 42">
            <a:extLst>
              <a:ext uri="{FF2B5EF4-FFF2-40B4-BE49-F238E27FC236}">
                <a16:creationId xmlns:a16="http://schemas.microsoft.com/office/drawing/2014/main" id="{4C60B7CA-7221-433D-B9F0-6823FEE1D61D}"/>
              </a:ext>
            </a:extLst>
          </xdr:cNvPr>
          <xdr:cNvSpPr txBox="1"/>
        </xdr:nvSpPr>
        <xdr:spPr>
          <a:xfrm>
            <a:off x="19990873" y="4712442"/>
            <a:ext cx="1146109" cy="21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4E6E62B-C858-46A3-B2B5-4652D8A997A2}" type="TxLink">
              <a:rPr lang="en-US" sz="1100" b="1" i="0" u="none" strike="noStrike">
                <a:solidFill>
                  <a:schemeClr val="tx1"/>
                </a:solidFill>
                <a:latin typeface="Calibri"/>
                <a:cs typeface="Calibri"/>
              </a:rPr>
              <a:pPr/>
              <a:t> $-   </a:t>
            </a:fld>
            <a:endParaRPr lang="en-US" sz="1400" b="1" i="0" u="none" strike="noStrike">
              <a:solidFill>
                <a:schemeClr val="tx1"/>
              </a:solidFill>
              <a:latin typeface="Calibri"/>
              <a:cs typeface="Calibri"/>
            </a:endParaRPr>
          </a:p>
        </xdr:txBody>
      </xdr:sp>
      <xdr:sp macro="" textlink="$L$82">
        <xdr:nvSpPr>
          <xdr:cNvPr id="44" name="TextBox 43">
            <a:extLst>
              <a:ext uri="{FF2B5EF4-FFF2-40B4-BE49-F238E27FC236}">
                <a16:creationId xmlns:a16="http://schemas.microsoft.com/office/drawing/2014/main" id="{D2DD7344-85D8-4C14-9F78-BB8897AA2BFA}"/>
              </a:ext>
            </a:extLst>
          </xdr:cNvPr>
          <xdr:cNvSpPr txBox="1"/>
        </xdr:nvSpPr>
        <xdr:spPr>
          <a:xfrm>
            <a:off x="21006934" y="4687677"/>
            <a:ext cx="973067" cy="315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9B261D5-C94E-45F6-B13A-7F359B9DD3E6}" type="TxLink">
              <a:rPr lang="en-US" sz="1100" b="1" i="0" u="none" strike="noStrike">
                <a:solidFill>
                  <a:schemeClr val="tx1"/>
                </a:solidFill>
                <a:latin typeface="Calibri"/>
                <a:cs typeface="Calibri"/>
              </a:rPr>
              <a:pPr/>
              <a:t> $-   </a:t>
            </a:fld>
            <a:endParaRPr lang="en-US" sz="1400" b="1" i="0" u="none" strike="noStrike">
              <a:solidFill>
                <a:schemeClr val="tx1"/>
              </a:solidFill>
              <a:latin typeface="Calibri"/>
              <a:cs typeface="Calibri"/>
            </a:endParaRPr>
          </a:p>
        </xdr:txBody>
      </xdr:sp>
    </xdr:grpSp>
    <xdr:clientData/>
  </xdr:twoCellAnchor>
  <xdr:oneCellAnchor>
    <xdr:from>
      <xdr:col>1</xdr:col>
      <xdr:colOff>16510</xdr:colOff>
      <xdr:row>4</xdr:row>
      <xdr:rowOff>18415</xdr:rowOff>
    </xdr:from>
    <xdr:ext cx="14687707" cy="1432560"/>
    <xdr:sp macro="" textlink="">
      <xdr:nvSpPr>
        <xdr:cNvPr id="45" name="TextBox 44">
          <a:extLst>
            <a:ext uri="{FF2B5EF4-FFF2-40B4-BE49-F238E27FC236}">
              <a16:creationId xmlns:a16="http://schemas.microsoft.com/office/drawing/2014/main" id="{30CD5CE5-615C-C871-0A79-200B8B4DC79A}"/>
            </a:ext>
          </a:extLst>
        </xdr:cNvPr>
        <xdr:cNvSpPr txBox="1"/>
      </xdr:nvSpPr>
      <xdr:spPr>
        <a:xfrm>
          <a:off x="623729" y="994728"/>
          <a:ext cx="14687707" cy="143256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400">
              <a:solidFill>
                <a:schemeClr val="tx1"/>
              </a:solidFill>
              <a:effectLst/>
              <a:latin typeface="+mn-lt"/>
              <a:ea typeface="+mn-ea"/>
              <a:cs typeface="+mn-cs"/>
            </a:rPr>
            <a:t>The purpose of this calculator is provide guidance on how total funding allocations for </a:t>
          </a:r>
          <a:r>
            <a:rPr lang="en-US" sz="1400" b="1">
              <a:solidFill>
                <a:schemeClr val="tx1"/>
              </a:solidFill>
              <a:effectLst/>
              <a:latin typeface="+mn-lt"/>
              <a:ea typeface="+mn-ea"/>
              <a:cs typeface="+mn-cs"/>
            </a:rPr>
            <a:t>Sec. 50121 </a:t>
          </a:r>
          <a:r>
            <a:rPr lang="en-US" sz="1400">
              <a:solidFill>
                <a:schemeClr val="tx1"/>
              </a:solidFill>
              <a:effectLst/>
              <a:latin typeface="+mn-lt"/>
              <a:ea typeface="+mn-ea"/>
              <a:cs typeface="+mn-cs"/>
            </a:rPr>
            <a:t>will be awarded. Additional information about program requirements, funding allocations, </a:t>
          </a:r>
        </a:p>
        <a:p>
          <a:r>
            <a:rPr lang="en-US" sz="1400">
              <a:solidFill>
                <a:schemeClr val="tx1"/>
              </a:solidFill>
              <a:effectLst/>
              <a:latin typeface="+mn-lt"/>
              <a:ea typeface="+mn-ea"/>
              <a:cs typeface="+mn-cs"/>
            </a:rPr>
            <a:t>and application instructions is available through the links at the bottom of this workbook and referenced throughout as </a:t>
          </a:r>
          <a:r>
            <a:rPr lang="en-US" sz="1400" b="1">
              <a:solidFill>
                <a:schemeClr val="tx1"/>
              </a:solidFill>
              <a:effectLst/>
              <a:latin typeface="+mn-lt"/>
              <a:ea typeface="+mn-ea"/>
              <a:cs typeface="+mn-cs"/>
            </a:rPr>
            <a:t>(1)</a:t>
          </a:r>
          <a:r>
            <a:rPr lang="en-US" sz="1400">
              <a:solidFill>
                <a:schemeClr val="tx1"/>
              </a:solidFill>
              <a:effectLst/>
              <a:latin typeface="+mn-lt"/>
              <a:ea typeface="+mn-ea"/>
              <a:cs typeface="+mn-cs"/>
            </a:rPr>
            <a:t>, </a:t>
          </a:r>
          <a:r>
            <a:rPr lang="en-US" sz="1400" b="1">
              <a:solidFill>
                <a:schemeClr val="tx1"/>
              </a:solidFill>
              <a:effectLst/>
              <a:latin typeface="+mn-lt"/>
              <a:ea typeface="+mn-ea"/>
              <a:cs typeface="+mn-cs"/>
            </a:rPr>
            <a:t>(2)</a:t>
          </a:r>
          <a:r>
            <a:rPr lang="en-US" sz="1400">
              <a:solidFill>
                <a:schemeClr val="tx1"/>
              </a:solidFill>
              <a:effectLst/>
              <a:latin typeface="+mn-lt"/>
              <a:ea typeface="+mn-ea"/>
              <a:cs typeface="+mn-cs"/>
            </a:rPr>
            <a:t>, and </a:t>
          </a:r>
          <a:r>
            <a:rPr lang="en-US" sz="1400" b="1">
              <a:solidFill>
                <a:schemeClr val="tx1"/>
              </a:solidFill>
              <a:effectLst/>
              <a:latin typeface="+mn-lt"/>
              <a:ea typeface="+mn-ea"/>
              <a:cs typeface="+mn-cs"/>
            </a:rPr>
            <a:t>(3)</a:t>
          </a:r>
          <a:r>
            <a:rPr lang="en-US" sz="1400">
              <a:solidFill>
                <a:schemeClr val="tx1"/>
              </a:solidFill>
              <a:effectLst/>
              <a:latin typeface="+mn-lt"/>
              <a:ea typeface="+mn-ea"/>
              <a:cs typeface="+mn-cs"/>
            </a:rPr>
            <a:t>. The disbursement of funds occurs in </a:t>
          </a:r>
          <a:r>
            <a:rPr lang="en-US" sz="1400" b="1">
              <a:solidFill>
                <a:schemeClr val="tx1"/>
              </a:solidFill>
              <a:effectLst/>
              <a:latin typeface="+mn-lt"/>
              <a:ea typeface="+mn-ea"/>
              <a:cs typeface="+mn-cs"/>
            </a:rPr>
            <a:t>four stages </a:t>
          </a:r>
          <a:r>
            <a:rPr lang="en-US" sz="1400">
              <a:solidFill>
                <a:schemeClr val="tx1"/>
              </a:solidFill>
              <a:effectLst/>
              <a:latin typeface="+mn-lt"/>
              <a:ea typeface="+mn-ea"/>
              <a:cs typeface="+mn-cs"/>
            </a:rPr>
            <a:t>(referred to as Tranches), extending until September 30, 2031. Tranche 1 is granted upon successful completion of your application. Future tranches </a:t>
          </a:r>
          <a:r>
            <a:rPr lang="en-US" sz="1400" b="1">
              <a:solidFill>
                <a:schemeClr val="tx1"/>
              </a:solidFill>
              <a:effectLst/>
              <a:latin typeface="+mn-lt"/>
              <a:ea typeface="+mn-ea"/>
              <a:cs typeface="+mn-cs"/>
            </a:rPr>
            <a:t>require submission of additional deliverables or milestones</a:t>
          </a:r>
          <a:r>
            <a:rPr lang="en-US" sz="1400">
              <a:solidFill>
                <a:schemeClr val="tx1"/>
              </a:solidFill>
              <a:effectLst/>
              <a:latin typeface="+mn-lt"/>
              <a:ea typeface="+mn-ea"/>
              <a:cs typeface="+mn-cs"/>
            </a:rPr>
            <a:t>. In addition to these milestones, future tranches are granted upon successfully reaching </a:t>
          </a:r>
          <a:r>
            <a:rPr lang="en-US" sz="1400" b="1">
              <a:solidFill>
                <a:schemeClr val="tx1"/>
              </a:solidFill>
              <a:effectLst/>
              <a:latin typeface="+mn-lt"/>
              <a:ea typeface="+mn-ea"/>
              <a:cs typeface="+mn-cs"/>
            </a:rPr>
            <a:t>minimum spending requirements </a:t>
          </a:r>
          <a:r>
            <a:rPr lang="en-US" sz="1400">
              <a:solidFill>
                <a:schemeClr val="tx1"/>
              </a:solidFill>
              <a:effectLst/>
              <a:latin typeface="+mn-lt"/>
              <a:ea typeface="+mn-ea"/>
              <a:cs typeface="+mn-cs"/>
            </a:rPr>
            <a:t>to demonstrate your progress in adherence to overarching program funding allocation rules for </a:t>
          </a:r>
          <a:r>
            <a:rPr lang="en-US" sz="1400" b="1">
              <a:solidFill>
                <a:schemeClr val="tx1"/>
              </a:solidFill>
              <a:effectLst/>
              <a:latin typeface="+mn-lt"/>
              <a:ea typeface="+mn-ea"/>
              <a:cs typeface="+mn-cs"/>
            </a:rPr>
            <a:t>Low Income </a:t>
          </a:r>
          <a:r>
            <a:rPr lang="en-US" sz="1400">
              <a:solidFill>
                <a:schemeClr val="tx1"/>
              </a:solidFill>
              <a:effectLst/>
              <a:latin typeface="+mn-lt"/>
              <a:ea typeface="+mn-ea"/>
              <a:cs typeface="+mn-cs"/>
            </a:rPr>
            <a:t>and </a:t>
          </a:r>
          <a:r>
            <a:rPr lang="en-US" sz="1400" b="1">
              <a:solidFill>
                <a:schemeClr val="tx1"/>
              </a:solidFill>
              <a:effectLst/>
              <a:latin typeface="+mn-lt"/>
              <a:ea typeface="+mn-ea"/>
              <a:cs typeface="+mn-cs"/>
            </a:rPr>
            <a:t>Low Income Multifamily</a:t>
          </a:r>
          <a:r>
            <a:rPr lang="en-US" sz="1400">
              <a:solidFill>
                <a:schemeClr val="tx1"/>
              </a:solidFill>
              <a:effectLst/>
              <a:latin typeface="+mn-lt"/>
              <a:ea typeface="+mn-ea"/>
              <a:cs typeface="+mn-cs"/>
            </a:rPr>
            <a:t>. Beyond the mandatory minimums, there are </a:t>
          </a:r>
          <a:r>
            <a:rPr lang="en-US" sz="1400" b="1">
              <a:solidFill>
                <a:schemeClr val="tx1"/>
              </a:solidFill>
              <a:effectLst/>
              <a:latin typeface="+mn-lt"/>
              <a:ea typeface="+mn-ea"/>
              <a:cs typeface="+mn-cs"/>
            </a:rPr>
            <a:t>targets</a:t>
          </a:r>
          <a:r>
            <a:rPr lang="en-US" sz="1400">
              <a:solidFill>
                <a:schemeClr val="tx1"/>
              </a:solidFill>
              <a:effectLst/>
              <a:latin typeface="+mn-lt"/>
              <a:ea typeface="+mn-ea"/>
              <a:cs typeface="+mn-cs"/>
            </a:rPr>
            <a:t> participants are encouraged to meet, although future funding is not contingent on reaching these target benchmarks. </a:t>
          </a:r>
          <a:r>
            <a:rPr lang="en-US" sz="1400" b="1">
              <a:solidFill>
                <a:schemeClr val="tx1"/>
              </a:solidFill>
              <a:effectLst/>
              <a:latin typeface="+mn-lt"/>
              <a:ea typeface="+mn-ea"/>
              <a:cs typeface="+mn-cs"/>
            </a:rPr>
            <a:t>All tranche requirements are documented in the calculator below</a:t>
          </a:r>
          <a:r>
            <a:rPr lang="en-US" sz="1400">
              <a:solidFill>
                <a:schemeClr val="tx1"/>
              </a:solidFill>
              <a:effectLst/>
              <a:latin typeface="+mn-lt"/>
              <a:ea typeface="+mn-ea"/>
              <a:cs typeface="+mn-cs"/>
            </a:rPr>
            <a:t>.</a:t>
          </a:r>
        </a:p>
      </xdr:txBody>
    </xdr:sp>
    <xdr:clientData/>
  </xdr:oneCellAnchor>
  <xdr:twoCellAnchor>
    <xdr:from>
      <xdr:col>1</xdr:col>
      <xdr:colOff>225335</xdr:colOff>
      <xdr:row>24</xdr:row>
      <xdr:rowOff>132262</xdr:rowOff>
    </xdr:from>
    <xdr:to>
      <xdr:col>3</xdr:col>
      <xdr:colOff>385355</xdr:colOff>
      <xdr:row>37</xdr:row>
      <xdr:rowOff>36650</xdr:rowOff>
    </xdr:to>
    <xdr:sp macro="" textlink="">
      <xdr:nvSpPr>
        <xdr:cNvPr id="51" name="Arrow: Pentagon 50">
          <a:extLst>
            <a:ext uri="{FF2B5EF4-FFF2-40B4-BE49-F238E27FC236}">
              <a16:creationId xmlns:a16="http://schemas.microsoft.com/office/drawing/2014/main" id="{4FB96FE2-3096-491A-9CC2-72057AAD9073}"/>
            </a:ext>
          </a:extLst>
        </xdr:cNvPr>
        <xdr:cNvSpPr/>
      </xdr:nvSpPr>
      <xdr:spPr>
        <a:xfrm>
          <a:off x="837656" y="2581548"/>
          <a:ext cx="1384663" cy="2544173"/>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Tranche 1</a:t>
          </a:r>
        </a:p>
      </xdr:txBody>
    </xdr:sp>
    <xdr:clientData/>
  </xdr:twoCellAnchor>
  <xdr:twoCellAnchor>
    <xdr:from>
      <xdr:col>1</xdr:col>
      <xdr:colOff>285750</xdr:colOff>
      <xdr:row>13</xdr:row>
      <xdr:rowOff>179069</xdr:rowOff>
    </xdr:from>
    <xdr:to>
      <xdr:col>3</xdr:col>
      <xdr:colOff>496933</xdr:colOff>
      <xdr:row>20</xdr:row>
      <xdr:rowOff>220979</xdr:rowOff>
    </xdr:to>
    <xdr:sp macro="" textlink="">
      <xdr:nvSpPr>
        <xdr:cNvPr id="11" name="Arrow: Pentagon 10">
          <a:extLst>
            <a:ext uri="{FF2B5EF4-FFF2-40B4-BE49-F238E27FC236}">
              <a16:creationId xmlns:a16="http://schemas.microsoft.com/office/drawing/2014/main" id="{8BFB5A3D-5379-4891-A162-FAD0E257DE2D}"/>
            </a:ext>
          </a:extLst>
        </xdr:cNvPr>
        <xdr:cNvSpPr/>
      </xdr:nvSpPr>
      <xdr:spPr>
        <a:xfrm>
          <a:off x="891540" y="19425284"/>
          <a:ext cx="1434193" cy="1596390"/>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Early</a:t>
          </a:r>
          <a:r>
            <a:rPr lang="en-US" sz="1500" b="1" baseline="0"/>
            <a:t> Admin</a:t>
          </a:r>
          <a:endParaRPr lang="en-US" sz="1500" b="1"/>
        </a:p>
      </xdr:txBody>
    </xdr:sp>
    <xdr:clientData/>
  </xdr:twoCellAnchor>
  <xdr:oneCellAnchor>
    <xdr:from>
      <xdr:col>4</xdr:col>
      <xdr:colOff>170180</xdr:colOff>
      <xdr:row>17</xdr:row>
      <xdr:rowOff>86783</xdr:rowOff>
    </xdr:from>
    <xdr:ext cx="10172700" cy="1149033"/>
    <xdr:sp macro="" textlink="">
      <xdr:nvSpPr>
        <xdr:cNvPr id="15" name="TextBox 14">
          <a:extLst>
            <a:ext uri="{FF2B5EF4-FFF2-40B4-BE49-F238E27FC236}">
              <a16:creationId xmlns:a16="http://schemas.microsoft.com/office/drawing/2014/main" id="{F229EB47-52C3-47BB-8E48-B1C28B8D18ED}"/>
            </a:ext>
          </a:extLst>
        </xdr:cNvPr>
        <xdr:cNvSpPr txBox="1"/>
      </xdr:nvSpPr>
      <xdr:spPr>
        <a:xfrm>
          <a:off x="2625513" y="4002616"/>
          <a:ext cx="10172700" cy="1149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50"/>
            <a:t>DOE permits states early access to a portion of IRA Sections 50121 and 50122 allocations, known as "</a:t>
          </a:r>
          <a:r>
            <a:rPr lang="en-US" sz="1350" b="1"/>
            <a:t>early administrative funds</a:t>
          </a:r>
          <a:r>
            <a:rPr lang="en-US" sz="1350"/>
            <a:t>". States can request </a:t>
          </a:r>
          <a:r>
            <a:rPr lang="en-US" sz="1350" b="1"/>
            <a:t>up to 2.5% </a:t>
          </a:r>
          <a:r>
            <a:rPr lang="en-US" sz="1350"/>
            <a:t>of total program allocations, capped at $2,500,000 for each section </a:t>
          </a:r>
          <a:r>
            <a:rPr lang="en-US" sz="1350" b="1"/>
            <a:t>(3)</a:t>
          </a:r>
          <a:r>
            <a:rPr lang="en-US" sz="1350" b="0"/>
            <a:t>.</a:t>
          </a:r>
          <a:r>
            <a:rPr lang="en-US" sz="1350"/>
            <a:t> This funding supports initial planning, administration, and technical assistance activities to prepare for Home Energy Rebate Program Plans and lay the groundwork for state programs. </a:t>
          </a:r>
          <a:r>
            <a:rPr lang="en-US" sz="1350" b="1"/>
            <a:t>Early administrative funds</a:t>
          </a:r>
          <a:r>
            <a:rPr lang="en-US" sz="1350" b="1" baseline="0"/>
            <a:t> are subtracted from Tranche 1 allocations</a:t>
          </a:r>
          <a:r>
            <a:rPr lang="en-US" sz="1350" baseline="0"/>
            <a:t>. </a:t>
          </a:r>
          <a:r>
            <a:rPr lang="en-US" sz="1350"/>
            <a:t>See source </a:t>
          </a:r>
          <a:r>
            <a:rPr lang="en-US" sz="1350" b="1"/>
            <a:t>(3) </a:t>
          </a:r>
          <a:r>
            <a:rPr lang="en-US" sz="1350"/>
            <a:t>for more information. </a:t>
          </a:r>
        </a:p>
        <a:p>
          <a:endParaRPr lang="en-US" sz="1350"/>
        </a:p>
      </xdr:txBody>
    </xdr:sp>
    <xdr:clientData/>
  </xdr:oneCellAnchor>
</xdr:wsDr>
</file>

<file path=xl/drawings/drawing3.xml><?xml version="1.0" encoding="utf-8"?>
<c:userShapes xmlns:c="http://schemas.openxmlformats.org/drawingml/2006/chart">
  <cdr:relSizeAnchor xmlns:cdr="http://schemas.openxmlformats.org/drawingml/2006/chartDrawing">
    <cdr:from>
      <cdr:x>0.08762</cdr:x>
      <cdr:y>0</cdr:y>
    </cdr:from>
    <cdr:to>
      <cdr:x>0.08762</cdr:x>
      <cdr:y>1</cdr:y>
    </cdr:to>
    <cdr:cxnSp macro="">
      <cdr:nvCxnSpPr>
        <cdr:cNvPr id="3" name="Straight Connector 2">
          <a:extLst xmlns:a="http://schemas.openxmlformats.org/drawingml/2006/main">
            <a:ext uri="{FF2B5EF4-FFF2-40B4-BE49-F238E27FC236}">
              <a16:creationId xmlns:a16="http://schemas.microsoft.com/office/drawing/2014/main" id="{2C337C56-4AA9-BF41-6B85-7C613FE20852}"/>
            </a:ext>
          </a:extLst>
        </cdr:cNvPr>
        <cdr:cNvCxnSpPr/>
      </cdr:nvCxnSpPr>
      <cdr:spPr>
        <a:xfrm xmlns:a="http://schemas.openxmlformats.org/drawingml/2006/main">
          <a:off x="400261" y="0"/>
          <a:ext cx="0" cy="136588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0.35821</cdr:x>
      <cdr:y>0</cdr:y>
    </cdr:from>
    <cdr:to>
      <cdr:x>0.35821</cdr:x>
      <cdr:y>1</cdr:y>
    </cdr:to>
    <cdr:cxnSp macro="">
      <cdr:nvCxnSpPr>
        <cdr:cNvPr id="4" name="Straight Connector 3">
          <a:extLst xmlns:a="http://schemas.openxmlformats.org/drawingml/2006/main">
            <a:ext uri="{FF2B5EF4-FFF2-40B4-BE49-F238E27FC236}">
              <a16:creationId xmlns:a16="http://schemas.microsoft.com/office/drawing/2014/main" id="{B6D92EC0-722E-4A48-C5C3-C92B3F9756FF}"/>
            </a:ext>
          </a:extLst>
        </cdr:cNvPr>
        <cdr:cNvCxnSpPr/>
      </cdr:nvCxnSpPr>
      <cdr:spPr>
        <a:xfrm xmlns:a="http://schemas.openxmlformats.org/drawingml/2006/main">
          <a:off x="1636394" y="0"/>
          <a:ext cx="0" cy="136588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0.5824</cdr:x>
      <cdr:y>0</cdr:y>
    </cdr:from>
    <cdr:to>
      <cdr:x>0.5824</cdr:x>
      <cdr:y>1</cdr:y>
    </cdr:to>
    <cdr:cxnSp macro="">
      <cdr:nvCxnSpPr>
        <cdr:cNvPr id="5" name="Straight Connector 4">
          <a:extLst xmlns:a="http://schemas.openxmlformats.org/drawingml/2006/main">
            <a:ext uri="{FF2B5EF4-FFF2-40B4-BE49-F238E27FC236}">
              <a16:creationId xmlns:a16="http://schemas.microsoft.com/office/drawing/2014/main" id="{6569A897-2F99-52FF-C261-C96FC97BCE90}"/>
            </a:ext>
          </a:extLst>
        </cdr:cNvPr>
        <cdr:cNvCxnSpPr/>
      </cdr:nvCxnSpPr>
      <cdr:spPr>
        <a:xfrm xmlns:a="http://schemas.openxmlformats.org/drawingml/2006/main">
          <a:off x="2809225" y="0"/>
          <a:ext cx="0" cy="149560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0.94144</cdr:x>
      <cdr:y>0</cdr:y>
    </cdr:from>
    <cdr:to>
      <cdr:x>0.94144</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41072" y="0"/>
          <a:ext cx="0" cy="149560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0.08476</cdr:x>
      <cdr:y>0.03561</cdr:y>
    </cdr:from>
    <cdr:to>
      <cdr:x>0.08476</cdr:x>
      <cdr:y>1</cdr:y>
    </cdr:to>
    <cdr:cxnSp macro="">
      <cdr:nvCxnSpPr>
        <cdr:cNvPr id="4" name="Straight Connector 3">
          <a:extLst xmlns:a="http://schemas.openxmlformats.org/drawingml/2006/main">
            <a:ext uri="{FF2B5EF4-FFF2-40B4-BE49-F238E27FC236}">
              <a16:creationId xmlns:a16="http://schemas.microsoft.com/office/drawing/2014/main" id="{B6D92EC0-722E-4A48-C5C3-C92B3F9756FF}"/>
            </a:ext>
          </a:extLst>
        </cdr:cNvPr>
        <cdr:cNvCxnSpPr/>
      </cdr:nvCxnSpPr>
      <cdr:spPr>
        <a:xfrm xmlns:a="http://schemas.openxmlformats.org/drawingml/2006/main">
          <a:off x="400739" y="49588"/>
          <a:ext cx="0" cy="1342950"/>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0.26896</cdr:x>
      <cdr:y>0</cdr:y>
    </cdr:from>
    <cdr:to>
      <cdr:x>0.26896</cdr:x>
      <cdr:y>1</cdr:y>
    </cdr:to>
    <cdr:cxnSp macro="">
      <cdr:nvCxnSpPr>
        <cdr:cNvPr id="5" name="Straight Connector 4">
          <a:extLst xmlns:a="http://schemas.openxmlformats.org/drawingml/2006/main">
            <a:ext uri="{FF2B5EF4-FFF2-40B4-BE49-F238E27FC236}">
              <a16:creationId xmlns:a16="http://schemas.microsoft.com/office/drawing/2014/main" id="{6569A897-2F99-52FF-C261-C96FC97BCE90}"/>
            </a:ext>
          </a:extLst>
        </cdr:cNvPr>
        <cdr:cNvCxnSpPr/>
      </cdr:nvCxnSpPr>
      <cdr:spPr>
        <a:xfrm xmlns:a="http://schemas.openxmlformats.org/drawingml/2006/main">
          <a:off x="1271631" y="0"/>
          <a:ext cx="0" cy="1392538"/>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0.93863</cdr:x>
      <cdr:y>0</cdr:y>
    </cdr:from>
    <cdr:to>
      <cdr:x>0.93863</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45495" y="0"/>
          <a:ext cx="0" cy="137607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0.94166</cdr:x>
      <cdr:y>0</cdr:y>
    </cdr:from>
    <cdr:to>
      <cdr:x>0.94166</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51615" y="0"/>
          <a:ext cx="0" cy="140779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0.26713</cdr:x>
      <cdr:y>0</cdr:y>
    </cdr:from>
    <cdr:to>
      <cdr:x>0.26713</cdr:x>
      <cdr:y>1</cdr:y>
    </cdr:to>
    <cdr:cxnSp macro="">
      <cdr:nvCxnSpPr>
        <cdr:cNvPr id="3" name="Straight Connector 2">
          <a:extLst xmlns:a="http://schemas.openxmlformats.org/drawingml/2006/main">
            <a:ext uri="{FF2B5EF4-FFF2-40B4-BE49-F238E27FC236}">
              <a16:creationId xmlns:a16="http://schemas.microsoft.com/office/drawing/2014/main" id="{2C337C56-4AA9-BF41-6B85-7C613FE20852}"/>
            </a:ext>
          </a:extLst>
        </cdr:cNvPr>
        <cdr:cNvCxnSpPr/>
      </cdr:nvCxnSpPr>
      <cdr:spPr>
        <a:xfrm xmlns:a="http://schemas.openxmlformats.org/drawingml/2006/main">
          <a:off x="1289852" y="0"/>
          <a:ext cx="0" cy="1374564"/>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0.53687</cdr:x>
      <cdr:y>0</cdr:y>
    </cdr:from>
    <cdr:to>
      <cdr:x>0.53687</cdr:x>
      <cdr:y>1</cdr:y>
    </cdr:to>
    <cdr:cxnSp macro="">
      <cdr:nvCxnSpPr>
        <cdr:cNvPr id="4" name="Straight Connector 3">
          <a:extLst xmlns:a="http://schemas.openxmlformats.org/drawingml/2006/main">
            <a:ext uri="{FF2B5EF4-FFF2-40B4-BE49-F238E27FC236}">
              <a16:creationId xmlns:a16="http://schemas.microsoft.com/office/drawing/2014/main" id="{B6D92EC0-722E-4A48-C5C3-C92B3F9756FF}"/>
            </a:ext>
          </a:extLst>
        </cdr:cNvPr>
        <cdr:cNvCxnSpPr/>
      </cdr:nvCxnSpPr>
      <cdr:spPr>
        <a:xfrm xmlns:a="http://schemas.openxmlformats.org/drawingml/2006/main">
          <a:off x="2591589" y="0"/>
          <a:ext cx="0" cy="1378919"/>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0.76388</cdr:x>
      <cdr:y>0</cdr:y>
    </cdr:from>
    <cdr:to>
      <cdr:x>0.76388</cdr:x>
      <cdr:y>1</cdr:y>
    </cdr:to>
    <cdr:cxnSp macro="">
      <cdr:nvCxnSpPr>
        <cdr:cNvPr id="5" name="Straight Connector 4">
          <a:extLst xmlns:a="http://schemas.openxmlformats.org/drawingml/2006/main">
            <a:ext uri="{FF2B5EF4-FFF2-40B4-BE49-F238E27FC236}">
              <a16:creationId xmlns:a16="http://schemas.microsoft.com/office/drawing/2014/main" id="{6569A897-2F99-52FF-C261-C96FC97BCE90}"/>
            </a:ext>
          </a:extLst>
        </cdr:cNvPr>
        <cdr:cNvCxnSpPr/>
      </cdr:nvCxnSpPr>
      <cdr:spPr>
        <a:xfrm xmlns:a="http://schemas.openxmlformats.org/drawingml/2006/main">
          <a:off x="3688441" y="0"/>
          <a:ext cx="0" cy="1374564"/>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0.94144</cdr:x>
      <cdr:y>0</cdr:y>
    </cdr:from>
    <cdr:to>
      <cdr:x>0.94144</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45780" y="9525"/>
          <a:ext cx="0" cy="1374564"/>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xdr:col>
      <xdr:colOff>266700</xdr:colOff>
      <xdr:row>40</xdr:row>
      <xdr:rowOff>57150</xdr:rowOff>
    </xdr:from>
    <xdr:to>
      <xdr:col>3</xdr:col>
      <xdr:colOff>430530</xdr:colOff>
      <xdr:row>55</xdr:row>
      <xdr:rowOff>130810</xdr:rowOff>
    </xdr:to>
    <xdr:sp macro="" textlink="">
      <xdr:nvSpPr>
        <xdr:cNvPr id="2" name="Arrow: Pentagon 1">
          <a:extLst>
            <a:ext uri="{FF2B5EF4-FFF2-40B4-BE49-F238E27FC236}">
              <a16:creationId xmlns:a16="http://schemas.microsoft.com/office/drawing/2014/main" id="{CB58135D-913B-47F4-B976-116DAB5EB38B}"/>
            </a:ext>
          </a:extLst>
        </xdr:cNvPr>
        <xdr:cNvSpPr/>
      </xdr:nvSpPr>
      <xdr:spPr>
        <a:xfrm>
          <a:off x="876300" y="8578215"/>
          <a:ext cx="1386840" cy="2862580"/>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Tranche 2</a:t>
          </a:r>
        </a:p>
      </xdr:txBody>
    </xdr:sp>
    <xdr:clientData/>
  </xdr:twoCellAnchor>
  <xdr:twoCellAnchor>
    <xdr:from>
      <xdr:col>1</xdr:col>
      <xdr:colOff>266700</xdr:colOff>
      <xdr:row>59</xdr:row>
      <xdr:rowOff>59055</xdr:rowOff>
    </xdr:from>
    <xdr:to>
      <xdr:col>3</xdr:col>
      <xdr:colOff>434340</xdr:colOff>
      <xdr:row>74</xdr:row>
      <xdr:rowOff>142875</xdr:rowOff>
    </xdr:to>
    <xdr:sp macro="" textlink="">
      <xdr:nvSpPr>
        <xdr:cNvPr id="3" name="Arrow: Pentagon 2">
          <a:extLst>
            <a:ext uri="{FF2B5EF4-FFF2-40B4-BE49-F238E27FC236}">
              <a16:creationId xmlns:a16="http://schemas.microsoft.com/office/drawing/2014/main" id="{420AEBBA-D486-47FD-8BDA-8864A1EF2686}"/>
            </a:ext>
          </a:extLst>
        </xdr:cNvPr>
        <xdr:cNvSpPr/>
      </xdr:nvSpPr>
      <xdr:spPr>
        <a:xfrm>
          <a:off x="876300" y="12132945"/>
          <a:ext cx="1390650" cy="2800350"/>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Tranche 3</a:t>
          </a:r>
        </a:p>
      </xdr:txBody>
    </xdr:sp>
    <xdr:clientData/>
  </xdr:twoCellAnchor>
  <xdr:twoCellAnchor>
    <xdr:from>
      <xdr:col>21</xdr:col>
      <xdr:colOff>229022</xdr:colOff>
      <xdr:row>0</xdr:row>
      <xdr:rowOff>172085</xdr:rowOff>
    </xdr:from>
    <xdr:to>
      <xdr:col>29</xdr:col>
      <xdr:colOff>0</xdr:colOff>
      <xdr:row>4</xdr:row>
      <xdr:rowOff>133773</xdr:rowOff>
    </xdr:to>
    <xdr:sp macro="" textlink="">
      <xdr:nvSpPr>
        <xdr:cNvPr id="5" name="Rectangle 4">
          <a:extLst>
            <a:ext uri="{FF2B5EF4-FFF2-40B4-BE49-F238E27FC236}">
              <a16:creationId xmlns:a16="http://schemas.microsoft.com/office/drawing/2014/main" id="{ED1B9BA3-0B8F-40E9-B794-F6E9E3F37649}"/>
            </a:ext>
          </a:extLst>
        </xdr:cNvPr>
        <xdr:cNvSpPr/>
      </xdr:nvSpPr>
      <xdr:spPr>
        <a:xfrm>
          <a:off x="16602497" y="168275"/>
          <a:ext cx="6600403" cy="923713"/>
        </a:xfrm>
        <a:prstGeom prst="rect">
          <a:avLst/>
        </a:prstGeom>
        <a:solidFill>
          <a:schemeClr val="accent2">
            <a:lumMod val="60000"/>
            <a:lumOff val="40000"/>
          </a:schemeClr>
        </a:solidFill>
        <a:ln>
          <a:no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ctr"/>
        <a:lstStyle/>
        <a:p>
          <a:pPr algn="l"/>
          <a:r>
            <a:rPr lang="en-US" sz="1180" b="0" i="0">
              <a:solidFill>
                <a:schemeClr val="tx1"/>
              </a:solidFill>
              <a:effectLst/>
              <a:latin typeface="+mn-lt"/>
              <a:ea typeface="+mn-ea"/>
              <a:cs typeface="+mn-cs"/>
            </a:rPr>
            <a:t>The section below serves the purpose of transforming this allocation guidance tool into a </a:t>
          </a:r>
          <a:r>
            <a:rPr lang="en-US" sz="1180" b="1" i="0">
              <a:solidFill>
                <a:schemeClr val="tx1"/>
              </a:solidFill>
              <a:effectLst/>
              <a:latin typeface="+mn-lt"/>
              <a:ea typeface="+mn-ea"/>
              <a:cs typeface="+mn-cs"/>
            </a:rPr>
            <a:t>budget tracker</a:t>
          </a:r>
          <a:r>
            <a:rPr lang="en-US" sz="1180" b="0" i="0">
              <a:solidFill>
                <a:schemeClr val="tx1"/>
              </a:solidFill>
              <a:effectLst/>
              <a:latin typeface="+mn-lt"/>
              <a:ea typeface="+mn-ea"/>
              <a:cs typeface="+mn-cs"/>
            </a:rPr>
            <a:t>. If your state chooses to utilize it for monitoring the</a:t>
          </a:r>
          <a:r>
            <a:rPr lang="en-US" sz="1180" b="0" i="0" baseline="0">
              <a:solidFill>
                <a:schemeClr val="tx1"/>
              </a:solidFill>
              <a:effectLst/>
              <a:latin typeface="+mn-lt"/>
              <a:ea typeface="+mn-ea"/>
              <a:cs typeface="+mn-cs"/>
            </a:rPr>
            <a:t> state's</a:t>
          </a:r>
          <a:r>
            <a:rPr lang="en-US" sz="1180" b="0" i="0">
              <a:solidFill>
                <a:schemeClr val="tx1"/>
              </a:solidFill>
              <a:effectLst/>
              <a:latin typeface="+mn-lt"/>
              <a:ea typeface="+mn-ea"/>
              <a:cs typeface="+mn-cs"/>
            </a:rPr>
            <a:t> expenditures, you can input actual spending into the </a:t>
          </a:r>
          <a:r>
            <a:rPr lang="en-US" sz="1180" b="1" i="0">
              <a:solidFill>
                <a:schemeClr val="tx1"/>
              </a:solidFill>
              <a:effectLst/>
              <a:latin typeface="+mn-lt"/>
              <a:ea typeface="+mn-ea"/>
              <a:cs typeface="+mn-cs"/>
            </a:rPr>
            <a:t>designated yellow boxes</a:t>
          </a:r>
          <a:r>
            <a:rPr lang="en-US" sz="1180" b="0" i="0">
              <a:solidFill>
                <a:schemeClr val="tx1"/>
              </a:solidFill>
              <a:effectLst/>
              <a:latin typeface="+mn-lt"/>
              <a:ea typeface="+mn-ea"/>
              <a:cs typeface="+mn-cs"/>
            </a:rPr>
            <a:t>. This allows you to closely monitor the state's progress toward meeting relevant minimums, and maximums associated with the funding allocation requirements.</a:t>
          </a:r>
          <a:endParaRPr lang="en-US" sz="1180">
            <a:solidFill>
              <a:schemeClr val="tx1"/>
            </a:solidFill>
          </a:endParaRPr>
        </a:p>
      </xdr:txBody>
    </xdr:sp>
    <xdr:clientData/>
  </xdr:twoCellAnchor>
  <xdr:twoCellAnchor>
    <xdr:from>
      <xdr:col>22</xdr:col>
      <xdr:colOff>626504</xdr:colOff>
      <xdr:row>25</xdr:row>
      <xdr:rowOff>92651</xdr:rowOff>
    </xdr:from>
    <xdr:to>
      <xdr:col>27</xdr:col>
      <xdr:colOff>1087600</xdr:colOff>
      <xdr:row>35</xdr:row>
      <xdr:rowOff>170833</xdr:rowOff>
    </xdr:to>
    <xdr:grpSp>
      <xdr:nvGrpSpPr>
        <xdr:cNvPr id="6" name="Group 5">
          <a:extLst>
            <a:ext uri="{FF2B5EF4-FFF2-40B4-BE49-F238E27FC236}">
              <a16:creationId xmlns:a16="http://schemas.microsoft.com/office/drawing/2014/main" id="{A5CCEFDD-3A60-4DDC-94E4-F5E62D77857A}"/>
            </a:ext>
          </a:extLst>
        </xdr:cNvPr>
        <xdr:cNvGrpSpPr/>
      </xdr:nvGrpSpPr>
      <xdr:grpSpPr>
        <a:xfrm>
          <a:off x="16904729" y="5445701"/>
          <a:ext cx="4947371" cy="2068907"/>
          <a:chOff x="16625164" y="5993091"/>
          <a:chExt cx="5052242" cy="1555063"/>
        </a:xfrm>
      </xdr:grpSpPr>
      <xdr:graphicFrame macro="">
        <xdr:nvGraphicFramePr>
          <xdr:cNvPr id="7" name="Chart 6">
            <a:extLst>
              <a:ext uri="{FF2B5EF4-FFF2-40B4-BE49-F238E27FC236}">
                <a16:creationId xmlns:a16="http://schemas.microsoft.com/office/drawing/2014/main" id="{FF6C3396-A9B0-BC03-87A4-CF4624E93282}"/>
              </a:ext>
            </a:extLst>
          </xdr:cNvPr>
          <xdr:cNvGraphicFramePr/>
        </xdr:nvGraphicFramePr>
        <xdr:xfrm>
          <a:off x="16669492" y="5993091"/>
          <a:ext cx="4829967" cy="111426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TextBox 7">
            <a:extLst>
              <a:ext uri="{FF2B5EF4-FFF2-40B4-BE49-F238E27FC236}">
                <a16:creationId xmlns:a16="http://schemas.microsoft.com/office/drawing/2014/main" id="{89922A8D-A36F-195B-118D-A4B1CFC83D39}"/>
              </a:ext>
            </a:extLst>
          </xdr:cNvPr>
          <xdr:cNvSpPr txBox="1"/>
        </xdr:nvSpPr>
        <xdr:spPr>
          <a:xfrm>
            <a:off x="16625164" y="7120574"/>
            <a:ext cx="878574"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1</a:t>
            </a:r>
          </a:p>
          <a:p>
            <a:pPr algn="ctr"/>
            <a:r>
              <a:rPr lang="en-US" sz="1000" baseline="0"/>
              <a:t>Minimum 5%</a:t>
            </a:r>
            <a:endParaRPr lang="en-US" sz="1000"/>
          </a:p>
        </xdr:txBody>
      </xdr:sp>
      <xdr:sp macro="" textlink="">
        <xdr:nvSpPr>
          <xdr:cNvPr id="9" name="TextBox 8">
            <a:extLst>
              <a:ext uri="{FF2B5EF4-FFF2-40B4-BE49-F238E27FC236}">
                <a16:creationId xmlns:a16="http://schemas.microsoft.com/office/drawing/2014/main" id="{9287D42C-38B7-D689-C180-BC25D362183E}"/>
              </a:ext>
            </a:extLst>
          </xdr:cNvPr>
          <xdr:cNvSpPr txBox="1"/>
        </xdr:nvSpPr>
        <xdr:spPr>
          <a:xfrm>
            <a:off x="17932823" y="7125370"/>
            <a:ext cx="943592"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2</a:t>
            </a:r>
          </a:p>
          <a:p>
            <a:pPr algn="ctr"/>
            <a:r>
              <a:rPr lang="en-US" sz="1000" baseline="0"/>
              <a:t>Minimum 35%</a:t>
            </a:r>
            <a:endParaRPr lang="en-US" sz="1000"/>
          </a:p>
        </xdr:txBody>
      </xdr:sp>
      <xdr:sp macro="" textlink="">
        <xdr:nvSpPr>
          <xdr:cNvPr id="10" name="TextBox 9">
            <a:extLst>
              <a:ext uri="{FF2B5EF4-FFF2-40B4-BE49-F238E27FC236}">
                <a16:creationId xmlns:a16="http://schemas.microsoft.com/office/drawing/2014/main" id="{12A8D89B-69ED-3E6C-5B9E-246E3A67C460}"/>
              </a:ext>
            </a:extLst>
          </xdr:cNvPr>
          <xdr:cNvSpPr txBox="1"/>
        </xdr:nvSpPr>
        <xdr:spPr>
          <a:xfrm>
            <a:off x="19086514" y="7113799"/>
            <a:ext cx="943592"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3</a:t>
            </a:r>
          </a:p>
          <a:p>
            <a:pPr algn="ctr"/>
            <a:r>
              <a:rPr lang="en-US" sz="1000" baseline="0"/>
              <a:t>Minimum 60%</a:t>
            </a:r>
            <a:endParaRPr lang="en-US" sz="1000"/>
          </a:p>
        </xdr:txBody>
      </xdr:sp>
      <xdr:sp macro="" textlink="">
        <xdr:nvSpPr>
          <xdr:cNvPr id="11" name="TextBox 10">
            <a:extLst>
              <a:ext uri="{FF2B5EF4-FFF2-40B4-BE49-F238E27FC236}">
                <a16:creationId xmlns:a16="http://schemas.microsoft.com/office/drawing/2014/main" id="{4B9F9078-28EE-B305-3906-49194943E721}"/>
              </a:ext>
            </a:extLst>
          </xdr:cNvPr>
          <xdr:cNvSpPr txBox="1"/>
        </xdr:nvSpPr>
        <xdr:spPr>
          <a:xfrm>
            <a:off x="20687199" y="7094738"/>
            <a:ext cx="990207" cy="440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4</a:t>
            </a:r>
          </a:p>
          <a:p>
            <a:pPr algn="ctr"/>
            <a:r>
              <a:rPr lang="en-US" sz="1000" baseline="0"/>
              <a:t>100% of LI Min.</a:t>
            </a:r>
          </a:p>
        </xdr:txBody>
      </xdr:sp>
      <xdr:sp macro="" textlink="$F$33">
        <xdr:nvSpPr>
          <xdr:cNvPr id="12" name="TextBox 11">
            <a:extLst>
              <a:ext uri="{FF2B5EF4-FFF2-40B4-BE49-F238E27FC236}">
                <a16:creationId xmlns:a16="http://schemas.microsoft.com/office/drawing/2014/main" id="{B7F8FD87-78EA-CC7D-9E18-79DDC97323EB}"/>
              </a:ext>
            </a:extLst>
          </xdr:cNvPr>
          <xdr:cNvSpPr txBox="1"/>
        </xdr:nvSpPr>
        <xdr:spPr>
          <a:xfrm>
            <a:off x="16631777" y="7332881"/>
            <a:ext cx="894581" cy="19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8319BFB-0094-42F0-9110-7B53827FA5FA}" type="TxLink">
              <a:rPr lang="en-US" sz="1100" b="1" i="0" u="none" strike="noStrike">
                <a:solidFill>
                  <a:srgbClr val="000000"/>
                </a:solidFill>
                <a:latin typeface="Calibri"/>
                <a:cs typeface="Calibri"/>
              </a:rPr>
              <a:pPr/>
              <a:t> $-   </a:t>
            </a:fld>
            <a:endParaRPr lang="en-US" sz="1000" b="1"/>
          </a:p>
        </xdr:txBody>
      </xdr:sp>
      <xdr:sp macro="" textlink="$F$50">
        <xdr:nvSpPr>
          <xdr:cNvPr id="13" name="TextBox 12">
            <a:extLst>
              <a:ext uri="{FF2B5EF4-FFF2-40B4-BE49-F238E27FC236}">
                <a16:creationId xmlns:a16="http://schemas.microsoft.com/office/drawing/2014/main" id="{EE618828-8989-C464-D23B-8CCBC8908766}"/>
              </a:ext>
            </a:extLst>
          </xdr:cNvPr>
          <xdr:cNvSpPr txBox="1"/>
        </xdr:nvSpPr>
        <xdr:spPr>
          <a:xfrm>
            <a:off x="17933377" y="7332718"/>
            <a:ext cx="894581" cy="19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879E7E2-B29C-44D1-97B5-055DE8987C69}" type="TxLink">
              <a:rPr lang="en-US" sz="1100" b="1" i="0" u="none" strike="noStrike">
                <a:solidFill>
                  <a:srgbClr val="000000"/>
                </a:solidFill>
                <a:latin typeface="Calibri"/>
                <a:cs typeface="Calibri"/>
              </a:rPr>
              <a:pPr/>
              <a:t> $-   </a:t>
            </a:fld>
            <a:endParaRPr lang="en-US" sz="900" b="1"/>
          </a:p>
        </xdr:txBody>
      </xdr:sp>
      <xdr:sp macro="" textlink="$F$69">
        <xdr:nvSpPr>
          <xdr:cNvPr id="14" name="TextBox 13">
            <a:extLst>
              <a:ext uri="{FF2B5EF4-FFF2-40B4-BE49-F238E27FC236}">
                <a16:creationId xmlns:a16="http://schemas.microsoft.com/office/drawing/2014/main" id="{E9EA9E06-3E40-DA50-4B3B-EB88A52A8AF5}"/>
              </a:ext>
            </a:extLst>
          </xdr:cNvPr>
          <xdr:cNvSpPr txBox="1"/>
        </xdr:nvSpPr>
        <xdr:spPr>
          <a:xfrm>
            <a:off x="19084242" y="7353191"/>
            <a:ext cx="966196" cy="19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53A2D7-FDCD-4C30-8378-604A6FAD544F}" type="TxLink">
              <a:rPr lang="en-US" sz="1100" b="1" i="0" u="none" strike="noStrike">
                <a:solidFill>
                  <a:srgbClr val="000000"/>
                </a:solidFill>
                <a:latin typeface="Calibri"/>
                <a:cs typeface="Calibri"/>
              </a:rPr>
              <a:pPr/>
              <a:t> $-   </a:t>
            </a:fld>
            <a:endParaRPr lang="en-US" sz="900" b="1"/>
          </a:p>
        </xdr:txBody>
      </xdr:sp>
      <xdr:sp macro="" textlink="$L$87">
        <xdr:nvSpPr>
          <xdr:cNvPr id="15" name="TextBox 14">
            <a:extLst>
              <a:ext uri="{FF2B5EF4-FFF2-40B4-BE49-F238E27FC236}">
                <a16:creationId xmlns:a16="http://schemas.microsoft.com/office/drawing/2014/main" id="{E15F15E8-1E5B-5CE6-25CB-B48B81F08525}"/>
              </a:ext>
            </a:extLst>
          </xdr:cNvPr>
          <xdr:cNvSpPr txBox="1"/>
        </xdr:nvSpPr>
        <xdr:spPr>
          <a:xfrm>
            <a:off x="20686861" y="7330392"/>
            <a:ext cx="966196" cy="194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DEDD33F-1182-4D55-8F1F-DEBEFEC629D9}" type="TxLink">
              <a:rPr lang="en-US" sz="1100" b="1" i="0" u="none" strike="noStrike">
                <a:solidFill>
                  <a:srgbClr val="000000"/>
                </a:solidFill>
                <a:latin typeface="Calibri"/>
                <a:cs typeface="Calibri"/>
              </a:rPr>
              <a:pPr/>
              <a:t> $-   </a:t>
            </a:fld>
            <a:endParaRPr lang="en-US" sz="900" b="1"/>
          </a:p>
        </xdr:txBody>
      </xdr:sp>
    </xdr:grpSp>
    <xdr:clientData/>
  </xdr:twoCellAnchor>
  <xdr:twoCellAnchor>
    <xdr:from>
      <xdr:col>22</xdr:col>
      <xdr:colOff>683008</xdr:colOff>
      <xdr:row>38</xdr:row>
      <xdr:rowOff>37784</xdr:rowOff>
    </xdr:from>
    <xdr:to>
      <xdr:col>27</xdr:col>
      <xdr:colOff>1200794</xdr:colOff>
      <xdr:row>49</xdr:row>
      <xdr:rowOff>70759</xdr:rowOff>
    </xdr:to>
    <xdr:grpSp>
      <xdr:nvGrpSpPr>
        <xdr:cNvPr id="16" name="Group 15">
          <a:extLst>
            <a:ext uri="{FF2B5EF4-FFF2-40B4-BE49-F238E27FC236}">
              <a16:creationId xmlns:a16="http://schemas.microsoft.com/office/drawing/2014/main" id="{30A8150A-4D1E-43E9-AB8E-71203B065220}"/>
            </a:ext>
          </a:extLst>
        </xdr:cNvPr>
        <xdr:cNvGrpSpPr/>
      </xdr:nvGrpSpPr>
      <xdr:grpSpPr>
        <a:xfrm>
          <a:off x="16961233" y="8067359"/>
          <a:ext cx="5004061" cy="1985600"/>
          <a:chOff x="16678768" y="8450912"/>
          <a:chExt cx="5107528" cy="1990059"/>
        </a:xfrm>
      </xdr:grpSpPr>
      <xdr:graphicFrame macro="">
        <xdr:nvGraphicFramePr>
          <xdr:cNvPr id="17" name="Chart 16">
            <a:extLst>
              <a:ext uri="{FF2B5EF4-FFF2-40B4-BE49-F238E27FC236}">
                <a16:creationId xmlns:a16="http://schemas.microsoft.com/office/drawing/2014/main" id="{7BB70433-FC6E-AC1A-05C8-8A33B4A9B101}"/>
              </a:ext>
            </a:extLst>
          </xdr:cNvPr>
          <xdr:cNvGraphicFramePr>
            <a:graphicFrameLocks/>
          </xdr:cNvGraphicFramePr>
        </xdr:nvGraphicFramePr>
        <xdr:xfrm>
          <a:off x="16678768" y="8450912"/>
          <a:ext cx="4823065" cy="142648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8" name="TextBox 17">
            <a:extLst>
              <a:ext uri="{FF2B5EF4-FFF2-40B4-BE49-F238E27FC236}">
                <a16:creationId xmlns:a16="http://schemas.microsoft.com/office/drawing/2014/main" id="{54DB2EBD-8215-13A0-52FC-06A9BEAE550D}"/>
              </a:ext>
            </a:extLst>
          </xdr:cNvPr>
          <xdr:cNvSpPr txBox="1"/>
        </xdr:nvSpPr>
        <xdr:spPr>
          <a:xfrm>
            <a:off x="16697343" y="9845375"/>
            <a:ext cx="943592" cy="46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2</a:t>
            </a:r>
          </a:p>
          <a:p>
            <a:pPr algn="ctr"/>
            <a:r>
              <a:rPr lang="en-US" sz="1000" baseline="0"/>
              <a:t>Minimum 5%</a:t>
            </a:r>
            <a:endParaRPr lang="en-US" sz="1000"/>
          </a:p>
        </xdr:txBody>
      </xdr:sp>
      <xdr:sp macro="" textlink="">
        <xdr:nvSpPr>
          <xdr:cNvPr id="19" name="TextBox 18">
            <a:extLst>
              <a:ext uri="{FF2B5EF4-FFF2-40B4-BE49-F238E27FC236}">
                <a16:creationId xmlns:a16="http://schemas.microsoft.com/office/drawing/2014/main" id="{C4BD360A-87C8-EB27-9348-56BAD30371F9}"/>
              </a:ext>
            </a:extLst>
          </xdr:cNvPr>
          <xdr:cNvSpPr txBox="1"/>
        </xdr:nvSpPr>
        <xdr:spPr>
          <a:xfrm>
            <a:off x="17575550" y="9854069"/>
            <a:ext cx="943592" cy="50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3</a:t>
            </a:r>
          </a:p>
          <a:p>
            <a:pPr algn="ctr"/>
            <a:r>
              <a:rPr lang="en-US" sz="1000" baseline="0"/>
              <a:t>Minimum 25%</a:t>
            </a:r>
            <a:endParaRPr lang="en-US" sz="1000"/>
          </a:p>
        </xdr:txBody>
      </xdr:sp>
      <xdr:sp macro="" textlink="">
        <xdr:nvSpPr>
          <xdr:cNvPr id="20" name="TextBox 19">
            <a:extLst>
              <a:ext uri="{FF2B5EF4-FFF2-40B4-BE49-F238E27FC236}">
                <a16:creationId xmlns:a16="http://schemas.microsoft.com/office/drawing/2014/main" id="{F63079FF-14D7-D26E-3ECA-D4B37E300EEC}"/>
              </a:ext>
            </a:extLst>
          </xdr:cNvPr>
          <xdr:cNvSpPr txBox="1"/>
        </xdr:nvSpPr>
        <xdr:spPr>
          <a:xfrm>
            <a:off x="20598534" y="9852701"/>
            <a:ext cx="1187762" cy="499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Tranche</a:t>
            </a:r>
            <a:r>
              <a:rPr lang="en-US" sz="1000" baseline="0"/>
              <a:t> 4</a:t>
            </a:r>
          </a:p>
          <a:p>
            <a:pPr algn="ctr"/>
            <a:r>
              <a:rPr lang="en-US" sz="1000" baseline="0"/>
              <a:t>100% of LI MF Min.</a:t>
            </a:r>
          </a:p>
        </xdr:txBody>
      </xdr:sp>
      <xdr:sp macro="" textlink="$F$52">
        <xdr:nvSpPr>
          <xdr:cNvPr id="21" name="TextBox 20">
            <a:extLst>
              <a:ext uri="{FF2B5EF4-FFF2-40B4-BE49-F238E27FC236}">
                <a16:creationId xmlns:a16="http://schemas.microsoft.com/office/drawing/2014/main" id="{933E5C09-96C3-33C9-3477-93DF2DE226C2}"/>
              </a:ext>
            </a:extLst>
          </xdr:cNvPr>
          <xdr:cNvSpPr txBox="1"/>
        </xdr:nvSpPr>
        <xdr:spPr>
          <a:xfrm>
            <a:off x="16710828" y="10153714"/>
            <a:ext cx="786317" cy="258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5B407F6-4D23-43DB-8D32-D251EE460D3B}" type="TxLink">
              <a:rPr lang="en-US" sz="1100" b="1" i="0" u="none" strike="noStrike">
                <a:solidFill>
                  <a:srgbClr val="000000"/>
                </a:solidFill>
                <a:latin typeface="Calibri"/>
                <a:cs typeface="Calibri"/>
              </a:rPr>
              <a:pPr/>
              <a:t> $-   </a:t>
            </a:fld>
            <a:endParaRPr lang="en-US" sz="800" b="1"/>
          </a:p>
        </xdr:txBody>
      </xdr:sp>
      <xdr:sp macro="" textlink="$F$71">
        <xdr:nvSpPr>
          <xdr:cNvPr id="22" name="TextBox 21">
            <a:extLst>
              <a:ext uri="{FF2B5EF4-FFF2-40B4-BE49-F238E27FC236}">
                <a16:creationId xmlns:a16="http://schemas.microsoft.com/office/drawing/2014/main" id="{84D2E07B-8BEC-E196-C1AF-7EF9B05FE89F}"/>
              </a:ext>
            </a:extLst>
          </xdr:cNvPr>
          <xdr:cNvSpPr txBox="1"/>
        </xdr:nvSpPr>
        <xdr:spPr>
          <a:xfrm>
            <a:off x="17549341" y="10182028"/>
            <a:ext cx="894318" cy="258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E4B7C9-92E8-4BD7-A0B5-CEB17ED6C86C}" type="TxLink">
              <a:rPr lang="en-US" sz="1100" b="1" i="0" u="none" strike="noStrike">
                <a:solidFill>
                  <a:srgbClr val="000000"/>
                </a:solidFill>
                <a:latin typeface="Calibri"/>
                <a:cs typeface="Calibri"/>
              </a:rPr>
              <a:pPr/>
              <a:t> $-   </a:t>
            </a:fld>
            <a:endParaRPr lang="en-US" sz="800" b="1"/>
          </a:p>
        </xdr:txBody>
      </xdr:sp>
      <xdr:sp macro="" textlink="$L$89">
        <xdr:nvSpPr>
          <xdr:cNvPr id="23" name="TextBox 22">
            <a:extLst>
              <a:ext uri="{FF2B5EF4-FFF2-40B4-BE49-F238E27FC236}">
                <a16:creationId xmlns:a16="http://schemas.microsoft.com/office/drawing/2014/main" id="{76A3AFDF-CE9B-A594-F46B-28CC26A481E6}"/>
              </a:ext>
            </a:extLst>
          </xdr:cNvPr>
          <xdr:cNvSpPr txBox="1"/>
        </xdr:nvSpPr>
        <xdr:spPr>
          <a:xfrm>
            <a:off x="20714312" y="10138688"/>
            <a:ext cx="894318" cy="258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3743FEE-D5DE-49CB-8D0A-9572656ACEB1}" type="TxLink">
              <a:rPr lang="en-US" sz="1100" b="1" i="0" u="none" strike="noStrike">
                <a:solidFill>
                  <a:srgbClr val="000000"/>
                </a:solidFill>
                <a:latin typeface="Calibri"/>
                <a:cs typeface="Calibri"/>
              </a:rPr>
              <a:pPr/>
              <a:t> $-   </a:t>
            </a:fld>
            <a:endParaRPr lang="en-US" sz="800" b="1"/>
          </a:p>
        </xdr:txBody>
      </xdr:sp>
    </xdr:grpSp>
    <xdr:clientData/>
  </xdr:twoCellAnchor>
  <xdr:twoCellAnchor>
    <xdr:from>
      <xdr:col>22</xdr:col>
      <xdr:colOff>631349</xdr:colOff>
      <xdr:row>49</xdr:row>
      <xdr:rowOff>224946</xdr:rowOff>
    </xdr:from>
    <xdr:to>
      <xdr:col>27</xdr:col>
      <xdr:colOff>1161000</xdr:colOff>
      <xdr:row>60</xdr:row>
      <xdr:rowOff>87971</xdr:rowOff>
    </xdr:to>
    <xdr:grpSp>
      <xdr:nvGrpSpPr>
        <xdr:cNvPr id="24" name="Group 23">
          <a:extLst>
            <a:ext uri="{FF2B5EF4-FFF2-40B4-BE49-F238E27FC236}">
              <a16:creationId xmlns:a16="http://schemas.microsoft.com/office/drawing/2014/main" id="{4CFC7866-7722-4415-9F2F-D0E3D782DC19}"/>
            </a:ext>
          </a:extLst>
        </xdr:cNvPr>
        <xdr:cNvGrpSpPr/>
      </xdr:nvGrpSpPr>
      <xdr:grpSpPr>
        <a:xfrm>
          <a:off x="16909574" y="10207146"/>
          <a:ext cx="5015926" cy="2053775"/>
          <a:chOff x="16703993" y="10747058"/>
          <a:chExt cx="5143104" cy="2078974"/>
        </a:xfrm>
      </xdr:grpSpPr>
      <xdr:graphicFrame macro="">
        <xdr:nvGraphicFramePr>
          <xdr:cNvPr id="25" name="Chart 24">
            <a:extLst>
              <a:ext uri="{FF2B5EF4-FFF2-40B4-BE49-F238E27FC236}">
                <a16:creationId xmlns:a16="http://schemas.microsoft.com/office/drawing/2014/main" id="{A53DF608-84B0-62B5-F840-75E224D39B61}"/>
              </a:ext>
            </a:extLst>
          </xdr:cNvPr>
          <xdr:cNvGraphicFramePr>
            <a:graphicFrameLocks/>
          </xdr:cNvGraphicFramePr>
        </xdr:nvGraphicFramePr>
        <xdr:xfrm>
          <a:off x="16703993" y="10747058"/>
          <a:ext cx="4837587" cy="142499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26" name="TextBox 25">
            <a:extLst>
              <a:ext uri="{FF2B5EF4-FFF2-40B4-BE49-F238E27FC236}">
                <a16:creationId xmlns:a16="http://schemas.microsoft.com/office/drawing/2014/main" id="{85585658-6F9A-C43A-B938-34CD668775B9}"/>
              </a:ext>
            </a:extLst>
          </xdr:cNvPr>
          <xdr:cNvSpPr txBox="1"/>
        </xdr:nvSpPr>
        <xdr:spPr>
          <a:xfrm>
            <a:off x="20657604" y="12183221"/>
            <a:ext cx="1189493" cy="642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US" sz="1000"/>
              <a:t>Maximum Program</a:t>
            </a:r>
          </a:p>
          <a:p>
            <a:pPr algn="ctr"/>
            <a:r>
              <a:rPr lang="en-US" sz="1000" baseline="0"/>
              <a:t>Admin. Funds</a:t>
            </a:r>
          </a:p>
        </xdr:txBody>
      </xdr:sp>
      <xdr:sp macro="" textlink="$L$85">
        <xdr:nvSpPr>
          <xdr:cNvPr id="27" name="TextBox 26">
            <a:extLst>
              <a:ext uri="{FF2B5EF4-FFF2-40B4-BE49-F238E27FC236}">
                <a16:creationId xmlns:a16="http://schemas.microsoft.com/office/drawing/2014/main" id="{CACBD23C-335F-D74F-A560-076B77801901}"/>
              </a:ext>
            </a:extLst>
          </xdr:cNvPr>
          <xdr:cNvSpPr txBox="1"/>
        </xdr:nvSpPr>
        <xdr:spPr>
          <a:xfrm>
            <a:off x="20760713" y="12470495"/>
            <a:ext cx="970383" cy="266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0997B6F-ADD5-4183-9E50-1B7428F6CA25}" type="TxLink">
              <a:rPr lang="en-US" sz="1100" b="1" i="0" u="none" strike="noStrike">
                <a:solidFill>
                  <a:srgbClr val="000000"/>
                </a:solidFill>
                <a:latin typeface="Calibri"/>
                <a:cs typeface="Calibri"/>
              </a:rPr>
              <a:pPr/>
              <a:t> $-   </a:t>
            </a:fld>
            <a:endParaRPr lang="en-US" sz="700" b="1"/>
          </a:p>
        </xdr:txBody>
      </xdr:sp>
    </xdr:grpSp>
    <xdr:clientData/>
  </xdr:twoCellAnchor>
  <xdr:oneCellAnchor>
    <xdr:from>
      <xdr:col>26</xdr:col>
      <xdr:colOff>437302</xdr:colOff>
      <xdr:row>35</xdr:row>
      <xdr:rowOff>103294</xdr:rowOff>
    </xdr:from>
    <xdr:ext cx="216534" cy="264560"/>
    <xdr:sp macro="" textlink="#REF!">
      <xdr:nvSpPr>
        <xdr:cNvPr id="28" name="TextBox 27">
          <a:extLst>
            <a:ext uri="{FF2B5EF4-FFF2-40B4-BE49-F238E27FC236}">
              <a16:creationId xmlns:a16="http://schemas.microsoft.com/office/drawing/2014/main" id="{053AFD09-E76A-45DB-8306-52D75A9F8FA5}"/>
            </a:ext>
          </a:extLst>
        </xdr:cNvPr>
        <xdr:cNvSpPr txBox="1"/>
      </xdr:nvSpPr>
      <xdr:spPr>
        <a:xfrm>
          <a:off x="21043687" y="7483264"/>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4E54E11-108B-4588-92C1-03BD2F286976}" type="TxLink">
            <a:rPr lang="en-US" sz="1100" b="0" i="0" u="none" strike="noStrike">
              <a:solidFill>
                <a:srgbClr val="000000"/>
              </a:solidFill>
              <a:latin typeface="Calibri"/>
              <a:cs typeface="Calibri"/>
            </a:rPr>
            <a:pPr/>
            <a:t> </a:t>
          </a:fld>
          <a:endParaRPr lang="en-US" sz="800"/>
        </a:p>
      </xdr:txBody>
    </xdr:sp>
    <xdr:clientData/>
  </xdr:oneCellAnchor>
  <xdr:twoCellAnchor>
    <xdr:from>
      <xdr:col>22</xdr:col>
      <xdr:colOff>625584</xdr:colOff>
      <xdr:row>14</xdr:row>
      <xdr:rowOff>22225</xdr:rowOff>
    </xdr:from>
    <xdr:to>
      <xdr:col>27</xdr:col>
      <xdr:colOff>1349214</xdr:colOff>
      <xdr:row>25</xdr:row>
      <xdr:rowOff>15877</xdr:rowOff>
    </xdr:to>
    <xdr:grpSp>
      <xdr:nvGrpSpPr>
        <xdr:cNvPr id="29" name="Group 28">
          <a:extLst>
            <a:ext uri="{FF2B5EF4-FFF2-40B4-BE49-F238E27FC236}">
              <a16:creationId xmlns:a16="http://schemas.microsoft.com/office/drawing/2014/main" id="{842DB942-E1D0-4A4D-8AC1-B59E19254F13}"/>
            </a:ext>
          </a:extLst>
        </xdr:cNvPr>
        <xdr:cNvGrpSpPr/>
      </xdr:nvGrpSpPr>
      <xdr:grpSpPr>
        <a:xfrm>
          <a:off x="16903809" y="3203575"/>
          <a:ext cx="5200380" cy="2165352"/>
          <a:chOff x="16789507" y="2976986"/>
          <a:chExt cx="5190494" cy="2026685"/>
        </a:xfrm>
      </xdr:grpSpPr>
      <xdr:graphicFrame macro="">
        <xdr:nvGraphicFramePr>
          <xdr:cNvPr id="30" name="Chart 29">
            <a:extLst>
              <a:ext uri="{FF2B5EF4-FFF2-40B4-BE49-F238E27FC236}">
                <a16:creationId xmlns:a16="http://schemas.microsoft.com/office/drawing/2014/main" id="{2FF0BBA9-4A70-E542-CBA4-CC9B2011B851}"/>
              </a:ext>
            </a:extLst>
          </xdr:cNvPr>
          <xdr:cNvGraphicFramePr>
            <a:graphicFrameLocks/>
          </xdr:cNvGraphicFramePr>
        </xdr:nvGraphicFramePr>
        <xdr:xfrm>
          <a:off x="16789507" y="2976986"/>
          <a:ext cx="4835682" cy="145886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31" name="TextBox 30">
            <a:extLst>
              <a:ext uri="{FF2B5EF4-FFF2-40B4-BE49-F238E27FC236}">
                <a16:creationId xmlns:a16="http://schemas.microsoft.com/office/drawing/2014/main" id="{AE5BB442-EA61-0C8C-940B-A8065C020F89}"/>
              </a:ext>
            </a:extLst>
          </xdr:cNvPr>
          <xdr:cNvSpPr txBox="1"/>
        </xdr:nvSpPr>
        <xdr:spPr>
          <a:xfrm>
            <a:off x="17586928" y="4442620"/>
            <a:ext cx="94577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1</a:t>
            </a:r>
          </a:p>
          <a:p>
            <a:pPr algn="ctr"/>
            <a:r>
              <a:rPr lang="en-US" sz="800" baseline="0"/>
              <a:t>25% of total funds</a:t>
            </a:r>
            <a:endParaRPr lang="en-US" sz="800"/>
          </a:p>
        </xdr:txBody>
      </xdr:sp>
      <xdr:sp macro="" textlink="$L27">
        <xdr:nvSpPr>
          <xdr:cNvPr id="32" name="TextBox 31">
            <a:extLst>
              <a:ext uri="{FF2B5EF4-FFF2-40B4-BE49-F238E27FC236}">
                <a16:creationId xmlns:a16="http://schemas.microsoft.com/office/drawing/2014/main" id="{15431906-DDED-6D29-A4EE-9760E77A145F}"/>
              </a:ext>
            </a:extLst>
          </xdr:cNvPr>
          <xdr:cNvSpPr txBox="1"/>
        </xdr:nvSpPr>
        <xdr:spPr>
          <a:xfrm>
            <a:off x="17590220" y="4708419"/>
            <a:ext cx="1074560" cy="21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FC39BCC-E7C2-4A48-86E3-4FB2634E2A96}" type="TxLink">
              <a:rPr lang="en-US" sz="1100" b="1" i="0" u="none" strike="noStrike">
                <a:solidFill>
                  <a:srgbClr val="000000"/>
                </a:solidFill>
                <a:latin typeface="Calibri"/>
                <a:cs typeface="Calibri"/>
              </a:rPr>
              <a:pPr/>
              <a:t> $-   </a:t>
            </a:fld>
            <a:endParaRPr lang="en-US" sz="800" b="1"/>
          </a:p>
        </xdr:txBody>
      </xdr:sp>
      <xdr:sp macro="" textlink="$L44">
        <xdr:nvSpPr>
          <xdr:cNvPr id="33" name="TextBox 32">
            <a:extLst>
              <a:ext uri="{FF2B5EF4-FFF2-40B4-BE49-F238E27FC236}">
                <a16:creationId xmlns:a16="http://schemas.microsoft.com/office/drawing/2014/main" id="{574FF4AF-23DF-462E-1469-25F064079AD9}"/>
              </a:ext>
            </a:extLst>
          </xdr:cNvPr>
          <xdr:cNvSpPr txBox="1"/>
        </xdr:nvSpPr>
        <xdr:spPr>
          <a:xfrm>
            <a:off x="18896681" y="4713288"/>
            <a:ext cx="1146109" cy="228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5B2723B2-2768-46B4-80BA-6B6D83BBFCA9}" type="TxLink">
              <a:rPr lang="en-US" sz="1100" b="1" i="0" u="none" strike="noStrike">
                <a:solidFill>
                  <a:schemeClr val="tx1"/>
                </a:solidFill>
                <a:latin typeface="Calibri"/>
                <a:cs typeface="Calibri"/>
              </a:rPr>
              <a:pPr/>
              <a:t> $-   </a:t>
            </a:fld>
            <a:endParaRPr lang="en-US" sz="1000" b="1">
              <a:solidFill>
                <a:schemeClr val="tx1"/>
              </a:solidFill>
            </a:endParaRPr>
          </a:p>
        </xdr:txBody>
      </xdr:sp>
      <xdr:sp macro="" textlink="">
        <xdr:nvSpPr>
          <xdr:cNvPr id="34" name="TextBox 33">
            <a:extLst>
              <a:ext uri="{FF2B5EF4-FFF2-40B4-BE49-F238E27FC236}">
                <a16:creationId xmlns:a16="http://schemas.microsoft.com/office/drawing/2014/main" id="{216C3490-DE22-4C80-A0FB-A564C7272130}"/>
              </a:ext>
            </a:extLst>
          </xdr:cNvPr>
          <xdr:cNvSpPr txBox="1"/>
        </xdr:nvSpPr>
        <xdr:spPr>
          <a:xfrm>
            <a:off x="18920904" y="4425475"/>
            <a:ext cx="94577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2</a:t>
            </a:r>
          </a:p>
          <a:p>
            <a:pPr algn="ctr"/>
            <a:r>
              <a:rPr lang="en-US" sz="800" baseline="0"/>
              <a:t>55% of total funds</a:t>
            </a:r>
            <a:endParaRPr lang="en-US" sz="800"/>
          </a:p>
        </xdr:txBody>
      </xdr:sp>
      <xdr:sp macro="" textlink="">
        <xdr:nvSpPr>
          <xdr:cNvPr id="35" name="TextBox 34">
            <a:extLst>
              <a:ext uri="{FF2B5EF4-FFF2-40B4-BE49-F238E27FC236}">
                <a16:creationId xmlns:a16="http://schemas.microsoft.com/office/drawing/2014/main" id="{2D2FF113-E704-057C-2B15-47F558B0B78D}"/>
              </a:ext>
            </a:extLst>
          </xdr:cNvPr>
          <xdr:cNvSpPr txBox="1"/>
        </xdr:nvSpPr>
        <xdr:spPr>
          <a:xfrm>
            <a:off x="20052950" y="4433095"/>
            <a:ext cx="94577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3</a:t>
            </a:r>
          </a:p>
          <a:p>
            <a:pPr algn="ctr"/>
            <a:r>
              <a:rPr lang="en-US" sz="800" baseline="0"/>
              <a:t>80% of total funds</a:t>
            </a:r>
            <a:endParaRPr lang="en-US" sz="800"/>
          </a:p>
        </xdr:txBody>
      </xdr:sp>
      <xdr:sp macro="" textlink="">
        <xdr:nvSpPr>
          <xdr:cNvPr id="36" name="TextBox 35">
            <a:extLst>
              <a:ext uri="{FF2B5EF4-FFF2-40B4-BE49-F238E27FC236}">
                <a16:creationId xmlns:a16="http://schemas.microsoft.com/office/drawing/2014/main" id="{F229E194-2FDC-3BC3-1DEE-3311ACD33433}"/>
              </a:ext>
            </a:extLst>
          </xdr:cNvPr>
          <xdr:cNvSpPr txBox="1"/>
        </xdr:nvSpPr>
        <xdr:spPr>
          <a:xfrm>
            <a:off x="20975640" y="4416056"/>
            <a:ext cx="997774"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000"/>
              <a:t>Tranche</a:t>
            </a:r>
            <a:r>
              <a:rPr lang="en-US" sz="1000" baseline="0"/>
              <a:t> 4</a:t>
            </a:r>
          </a:p>
          <a:p>
            <a:pPr algn="ctr"/>
            <a:r>
              <a:rPr lang="en-US" sz="800" baseline="0"/>
              <a:t>100% of total funds</a:t>
            </a:r>
            <a:endParaRPr lang="en-US" sz="800"/>
          </a:p>
        </xdr:txBody>
      </xdr:sp>
      <xdr:sp macro="" textlink="$L$63">
        <xdr:nvSpPr>
          <xdr:cNvPr id="37" name="TextBox 36">
            <a:extLst>
              <a:ext uri="{FF2B5EF4-FFF2-40B4-BE49-F238E27FC236}">
                <a16:creationId xmlns:a16="http://schemas.microsoft.com/office/drawing/2014/main" id="{FB0B3122-A169-3967-2AF7-F8649386E507}"/>
              </a:ext>
            </a:extLst>
          </xdr:cNvPr>
          <xdr:cNvSpPr txBox="1"/>
        </xdr:nvSpPr>
        <xdr:spPr>
          <a:xfrm>
            <a:off x="19990873" y="4712442"/>
            <a:ext cx="1146109" cy="21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D4E6E62B-C858-46A3-B2B5-4652D8A997A2}" type="TxLink">
              <a:rPr lang="en-US" sz="1100" b="1" i="0" u="none" strike="noStrike">
                <a:solidFill>
                  <a:schemeClr val="tx1"/>
                </a:solidFill>
                <a:latin typeface="Calibri"/>
                <a:cs typeface="Calibri"/>
              </a:rPr>
              <a:pPr/>
              <a:t> $-   </a:t>
            </a:fld>
            <a:endParaRPr lang="en-US" sz="1400" b="1" i="0" u="none" strike="noStrike">
              <a:solidFill>
                <a:schemeClr val="tx1"/>
              </a:solidFill>
              <a:latin typeface="Calibri"/>
              <a:cs typeface="Calibri"/>
            </a:endParaRPr>
          </a:p>
        </xdr:txBody>
      </xdr:sp>
      <xdr:sp macro="" textlink="$L$82">
        <xdr:nvSpPr>
          <xdr:cNvPr id="38" name="TextBox 37">
            <a:extLst>
              <a:ext uri="{FF2B5EF4-FFF2-40B4-BE49-F238E27FC236}">
                <a16:creationId xmlns:a16="http://schemas.microsoft.com/office/drawing/2014/main" id="{192DC685-EFD8-1418-2B57-B3E89E094642}"/>
              </a:ext>
            </a:extLst>
          </xdr:cNvPr>
          <xdr:cNvSpPr txBox="1"/>
        </xdr:nvSpPr>
        <xdr:spPr>
          <a:xfrm>
            <a:off x="21006934" y="4687677"/>
            <a:ext cx="973067" cy="315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F9B261D5-C94E-45F6-B13A-7F359B9DD3E6}" type="TxLink">
              <a:rPr lang="en-US" sz="1100" b="1" i="0" u="none" strike="noStrike">
                <a:solidFill>
                  <a:schemeClr val="tx1"/>
                </a:solidFill>
                <a:latin typeface="Calibri"/>
                <a:cs typeface="Calibri"/>
              </a:rPr>
              <a:pPr/>
              <a:t> $-   </a:t>
            </a:fld>
            <a:endParaRPr lang="en-US" sz="1400" b="1" i="0" u="none" strike="noStrike">
              <a:solidFill>
                <a:schemeClr val="tx1"/>
              </a:solidFill>
              <a:latin typeface="Calibri"/>
              <a:cs typeface="Calibri"/>
            </a:endParaRPr>
          </a:p>
        </xdr:txBody>
      </xdr:sp>
    </xdr:grpSp>
    <xdr:clientData/>
  </xdr:twoCellAnchor>
  <xdr:oneCellAnchor>
    <xdr:from>
      <xdr:col>1</xdr:col>
      <xdr:colOff>16510</xdr:colOff>
      <xdr:row>4</xdr:row>
      <xdr:rowOff>18415</xdr:rowOff>
    </xdr:from>
    <xdr:ext cx="14687707" cy="1432560"/>
    <xdr:sp macro="" textlink="">
      <xdr:nvSpPr>
        <xdr:cNvPr id="39" name="TextBox 38">
          <a:extLst>
            <a:ext uri="{FF2B5EF4-FFF2-40B4-BE49-F238E27FC236}">
              <a16:creationId xmlns:a16="http://schemas.microsoft.com/office/drawing/2014/main" id="{9EA6F30B-F0A3-401D-B1C5-D63CEF36457F}"/>
            </a:ext>
          </a:extLst>
        </xdr:cNvPr>
        <xdr:cNvSpPr txBox="1"/>
      </xdr:nvSpPr>
      <xdr:spPr>
        <a:xfrm>
          <a:off x="629920" y="984250"/>
          <a:ext cx="14687707" cy="1432560"/>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1400">
              <a:solidFill>
                <a:schemeClr val="tx1"/>
              </a:solidFill>
              <a:effectLst/>
              <a:latin typeface="+mn-lt"/>
              <a:ea typeface="+mn-ea"/>
              <a:cs typeface="+mn-cs"/>
            </a:rPr>
            <a:t>The purpose of this calculator is provide guidance on how total funding allocations for </a:t>
          </a:r>
          <a:r>
            <a:rPr lang="en-US" sz="1400" b="1">
              <a:solidFill>
                <a:schemeClr val="tx1"/>
              </a:solidFill>
              <a:effectLst/>
              <a:latin typeface="+mn-lt"/>
              <a:ea typeface="+mn-ea"/>
              <a:cs typeface="+mn-cs"/>
            </a:rPr>
            <a:t>Sec. 50122 </a:t>
          </a:r>
          <a:r>
            <a:rPr lang="en-US" sz="1400">
              <a:solidFill>
                <a:schemeClr val="tx1"/>
              </a:solidFill>
              <a:effectLst/>
              <a:latin typeface="+mn-lt"/>
              <a:ea typeface="+mn-ea"/>
              <a:cs typeface="+mn-cs"/>
            </a:rPr>
            <a:t>will be awarded. Additional information about program requirements, funding allocations, </a:t>
          </a:r>
        </a:p>
        <a:p>
          <a:r>
            <a:rPr lang="en-US" sz="1400">
              <a:solidFill>
                <a:schemeClr val="tx1"/>
              </a:solidFill>
              <a:effectLst/>
              <a:latin typeface="+mn-lt"/>
              <a:ea typeface="+mn-ea"/>
              <a:cs typeface="+mn-cs"/>
            </a:rPr>
            <a:t>and application instructions is available through the links at the bottom of this workbook and referenced throughout as </a:t>
          </a:r>
          <a:r>
            <a:rPr lang="en-US" sz="1400" b="1">
              <a:solidFill>
                <a:schemeClr val="tx1"/>
              </a:solidFill>
              <a:effectLst/>
              <a:latin typeface="+mn-lt"/>
              <a:ea typeface="+mn-ea"/>
              <a:cs typeface="+mn-cs"/>
            </a:rPr>
            <a:t>(1)</a:t>
          </a:r>
          <a:r>
            <a:rPr lang="en-US" sz="1400">
              <a:solidFill>
                <a:schemeClr val="tx1"/>
              </a:solidFill>
              <a:effectLst/>
              <a:latin typeface="+mn-lt"/>
              <a:ea typeface="+mn-ea"/>
              <a:cs typeface="+mn-cs"/>
            </a:rPr>
            <a:t>, </a:t>
          </a:r>
          <a:r>
            <a:rPr lang="en-US" sz="1400" b="1">
              <a:solidFill>
                <a:schemeClr val="tx1"/>
              </a:solidFill>
              <a:effectLst/>
              <a:latin typeface="+mn-lt"/>
              <a:ea typeface="+mn-ea"/>
              <a:cs typeface="+mn-cs"/>
            </a:rPr>
            <a:t>(2)</a:t>
          </a:r>
          <a:r>
            <a:rPr lang="en-US" sz="1400">
              <a:solidFill>
                <a:schemeClr val="tx1"/>
              </a:solidFill>
              <a:effectLst/>
              <a:latin typeface="+mn-lt"/>
              <a:ea typeface="+mn-ea"/>
              <a:cs typeface="+mn-cs"/>
            </a:rPr>
            <a:t>, and </a:t>
          </a:r>
          <a:r>
            <a:rPr lang="en-US" sz="1400" b="1">
              <a:solidFill>
                <a:schemeClr val="tx1"/>
              </a:solidFill>
              <a:effectLst/>
              <a:latin typeface="+mn-lt"/>
              <a:ea typeface="+mn-ea"/>
              <a:cs typeface="+mn-cs"/>
            </a:rPr>
            <a:t>(3)</a:t>
          </a:r>
          <a:r>
            <a:rPr lang="en-US" sz="1400">
              <a:solidFill>
                <a:schemeClr val="tx1"/>
              </a:solidFill>
              <a:effectLst/>
              <a:latin typeface="+mn-lt"/>
              <a:ea typeface="+mn-ea"/>
              <a:cs typeface="+mn-cs"/>
            </a:rPr>
            <a:t>. The disbursement of funds occurs in </a:t>
          </a:r>
          <a:r>
            <a:rPr lang="en-US" sz="1400" b="1">
              <a:solidFill>
                <a:schemeClr val="tx1"/>
              </a:solidFill>
              <a:effectLst/>
              <a:latin typeface="+mn-lt"/>
              <a:ea typeface="+mn-ea"/>
              <a:cs typeface="+mn-cs"/>
            </a:rPr>
            <a:t>four stages </a:t>
          </a:r>
          <a:r>
            <a:rPr lang="en-US" sz="1400">
              <a:solidFill>
                <a:schemeClr val="tx1"/>
              </a:solidFill>
              <a:effectLst/>
              <a:latin typeface="+mn-lt"/>
              <a:ea typeface="+mn-ea"/>
              <a:cs typeface="+mn-cs"/>
            </a:rPr>
            <a:t>(referred to as Tranches), extending until September 30, 2031. Tranche 1 is granted upon successful completion of your application. Future tranches </a:t>
          </a:r>
          <a:r>
            <a:rPr lang="en-US" sz="1400" b="1">
              <a:solidFill>
                <a:schemeClr val="tx1"/>
              </a:solidFill>
              <a:effectLst/>
              <a:latin typeface="+mn-lt"/>
              <a:ea typeface="+mn-ea"/>
              <a:cs typeface="+mn-cs"/>
            </a:rPr>
            <a:t>require submission of additional deliverables or milestones</a:t>
          </a:r>
          <a:r>
            <a:rPr lang="en-US" sz="1400">
              <a:solidFill>
                <a:schemeClr val="tx1"/>
              </a:solidFill>
              <a:effectLst/>
              <a:latin typeface="+mn-lt"/>
              <a:ea typeface="+mn-ea"/>
              <a:cs typeface="+mn-cs"/>
            </a:rPr>
            <a:t>. In addition to these milestones, future tranches are granted upon successfully reaching </a:t>
          </a:r>
          <a:r>
            <a:rPr lang="en-US" sz="1400" b="1">
              <a:solidFill>
                <a:schemeClr val="tx1"/>
              </a:solidFill>
              <a:effectLst/>
              <a:latin typeface="+mn-lt"/>
              <a:ea typeface="+mn-ea"/>
              <a:cs typeface="+mn-cs"/>
            </a:rPr>
            <a:t>minimum spending requirements </a:t>
          </a:r>
          <a:r>
            <a:rPr lang="en-US" sz="1400">
              <a:solidFill>
                <a:schemeClr val="tx1"/>
              </a:solidFill>
              <a:effectLst/>
              <a:latin typeface="+mn-lt"/>
              <a:ea typeface="+mn-ea"/>
              <a:cs typeface="+mn-cs"/>
            </a:rPr>
            <a:t>to demonstrate your progress in adherence to overarching program funding allocation rules for </a:t>
          </a:r>
          <a:r>
            <a:rPr lang="en-US" sz="1400" b="1">
              <a:solidFill>
                <a:schemeClr val="tx1"/>
              </a:solidFill>
              <a:effectLst/>
              <a:latin typeface="+mn-lt"/>
              <a:ea typeface="+mn-ea"/>
              <a:cs typeface="+mn-cs"/>
            </a:rPr>
            <a:t>Low Income </a:t>
          </a:r>
          <a:r>
            <a:rPr lang="en-US" sz="1400">
              <a:solidFill>
                <a:schemeClr val="tx1"/>
              </a:solidFill>
              <a:effectLst/>
              <a:latin typeface="+mn-lt"/>
              <a:ea typeface="+mn-ea"/>
              <a:cs typeface="+mn-cs"/>
            </a:rPr>
            <a:t>and </a:t>
          </a:r>
          <a:r>
            <a:rPr lang="en-US" sz="1400" b="1">
              <a:solidFill>
                <a:schemeClr val="tx1"/>
              </a:solidFill>
              <a:effectLst/>
              <a:latin typeface="+mn-lt"/>
              <a:ea typeface="+mn-ea"/>
              <a:cs typeface="+mn-cs"/>
            </a:rPr>
            <a:t>Low Income Multifamily</a:t>
          </a:r>
          <a:r>
            <a:rPr lang="en-US" sz="1400">
              <a:solidFill>
                <a:schemeClr val="tx1"/>
              </a:solidFill>
              <a:effectLst/>
              <a:latin typeface="+mn-lt"/>
              <a:ea typeface="+mn-ea"/>
              <a:cs typeface="+mn-cs"/>
            </a:rPr>
            <a:t>. Beyond the mandatory minimums, there are </a:t>
          </a:r>
          <a:r>
            <a:rPr lang="en-US" sz="1400" b="1">
              <a:solidFill>
                <a:schemeClr val="tx1"/>
              </a:solidFill>
              <a:effectLst/>
              <a:latin typeface="+mn-lt"/>
              <a:ea typeface="+mn-ea"/>
              <a:cs typeface="+mn-cs"/>
            </a:rPr>
            <a:t>targets</a:t>
          </a:r>
          <a:r>
            <a:rPr lang="en-US" sz="1400">
              <a:solidFill>
                <a:schemeClr val="tx1"/>
              </a:solidFill>
              <a:effectLst/>
              <a:latin typeface="+mn-lt"/>
              <a:ea typeface="+mn-ea"/>
              <a:cs typeface="+mn-cs"/>
            </a:rPr>
            <a:t> participants are encouraged to meet, although future funding is not contingent on reaching these target benchmarks. </a:t>
          </a:r>
          <a:r>
            <a:rPr lang="en-US" sz="1400" b="1">
              <a:solidFill>
                <a:schemeClr val="tx1"/>
              </a:solidFill>
              <a:effectLst/>
              <a:latin typeface="+mn-lt"/>
              <a:ea typeface="+mn-ea"/>
              <a:cs typeface="+mn-cs"/>
            </a:rPr>
            <a:t>All tranche requirements are documented in the calculator below</a:t>
          </a:r>
          <a:r>
            <a:rPr lang="en-US" sz="1400">
              <a:solidFill>
                <a:schemeClr val="tx1"/>
              </a:solidFill>
              <a:effectLst/>
              <a:latin typeface="+mn-lt"/>
              <a:ea typeface="+mn-ea"/>
              <a:cs typeface="+mn-cs"/>
            </a:rPr>
            <a:t>.</a:t>
          </a:r>
        </a:p>
      </xdr:txBody>
    </xdr:sp>
    <xdr:clientData/>
  </xdr:oneCellAnchor>
  <xdr:twoCellAnchor>
    <xdr:from>
      <xdr:col>1</xdr:col>
      <xdr:colOff>225335</xdr:colOff>
      <xdr:row>24</xdr:row>
      <xdr:rowOff>132262</xdr:rowOff>
    </xdr:from>
    <xdr:to>
      <xdr:col>3</xdr:col>
      <xdr:colOff>385355</xdr:colOff>
      <xdr:row>37</xdr:row>
      <xdr:rowOff>36650</xdr:rowOff>
    </xdr:to>
    <xdr:sp macro="" textlink="">
      <xdr:nvSpPr>
        <xdr:cNvPr id="40" name="Arrow: Pentagon 39">
          <a:extLst>
            <a:ext uri="{FF2B5EF4-FFF2-40B4-BE49-F238E27FC236}">
              <a16:creationId xmlns:a16="http://schemas.microsoft.com/office/drawing/2014/main" id="{385E68EF-807C-4921-BBDE-8480B23E8DAB}"/>
            </a:ext>
          </a:extLst>
        </xdr:cNvPr>
        <xdr:cNvSpPr/>
      </xdr:nvSpPr>
      <xdr:spPr>
        <a:xfrm>
          <a:off x="834935" y="5308147"/>
          <a:ext cx="1381125" cy="2567578"/>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Tranche 1</a:t>
          </a:r>
        </a:p>
      </xdr:txBody>
    </xdr:sp>
    <xdr:clientData/>
  </xdr:twoCellAnchor>
  <xdr:twoCellAnchor>
    <xdr:from>
      <xdr:col>1</xdr:col>
      <xdr:colOff>285750</xdr:colOff>
      <xdr:row>13</xdr:row>
      <xdr:rowOff>179069</xdr:rowOff>
    </xdr:from>
    <xdr:to>
      <xdr:col>3</xdr:col>
      <xdr:colOff>496933</xdr:colOff>
      <xdr:row>20</xdr:row>
      <xdr:rowOff>220979</xdr:rowOff>
    </xdr:to>
    <xdr:sp macro="" textlink="">
      <xdr:nvSpPr>
        <xdr:cNvPr id="41" name="Arrow: Pentagon 40">
          <a:extLst>
            <a:ext uri="{FF2B5EF4-FFF2-40B4-BE49-F238E27FC236}">
              <a16:creationId xmlns:a16="http://schemas.microsoft.com/office/drawing/2014/main" id="{DBF2A7EF-6258-4222-B6E3-3349D511B5B4}"/>
            </a:ext>
          </a:extLst>
        </xdr:cNvPr>
        <xdr:cNvSpPr/>
      </xdr:nvSpPr>
      <xdr:spPr>
        <a:xfrm>
          <a:off x="891540" y="3166109"/>
          <a:ext cx="1434193" cy="1577340"/>
        </a:xfrm>
        <a:prstGeom prst="homePlate">
          <a:avLst>
            <a:gd name="adj" fmla="val 5967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Early</a:t>
          </a:r>
          <a:r>
            <a:rPr lang="en-US" sz="1500" b="1" baseline="0"/>
            <a:t> Admin</a:t>
          </a:r>
          <a:endParaRPr lang="en-US" sz="1500" b="1"/>
        </a:p>
      </xdr:txBody>
    </xdr:sp>
    <xdr:clientData/>
  </xdr:twoCellAnchor>
  <xdr:oneCellAnchor>
    <xdr:from>
      <xdr:col>4</xdr:col>
      <xdr:colOff>192617</xdr:colOff>
      <xdr:row>17</xdr:row>
      <xdr:rowOff>154517</xdr:rowOff>
    </xdr:from>
    <xdr:ext cx="10172700" cy="1149033"/>
    <xdr:sp macro="" textlink="">
      <xdr:nvSpPr>
        <xdr:cNvPr id="4" name="TextBox 3">
          <a:extLst>
            <a:ext uri="{FF2B5EF4-FFF2-40B4-BE49-F238E27FC236}">
              <a16:creationId xmlns:a16="http://schemas.microsoft.com/office/drawing/2014/main" id="{F0591136-C960-45A6-9CA7-9259C88BA35E}"/>
            </a:ext>
          </a:extLst>
        </xdr:cNvPr>
        <xdr:cNvSpPr txBox="1"/>
      </xdr:nvSpPr>
      <xdr:spPr>
        <a:xfrm>
          <a:off x="2647950" y="4038600"/>
          <a:ext cx="10172700" cy="1149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50"/>
            <a:t>DOE permits states early access to a portion of IRA Sections 50121 and 50122 allocations, known as "</a:t>
          </a:r>
          <a:r>
            <a:rPr lang="en-US" sz="1350" b="1"/>
            <a:t>early administrative funds</a:t>
          </a:r>
          <a:r>
            <a:rPr lang="en-US" sz="1350"/>
            <a:t>". States can request </a:t>
          </a:r>
          <a:r>
            <a:rPr lang="en-US" sz="1350" b="1"/>
            <a:t>up to 2.5% </a:t>
          </a:r>
          <a:r>
            <a:rPr lang="en-US" sz="1350"/>
            <a:t>of total program allocations, capped at $2,500,000 for each section </a:t>
          </a:r>
          <a:r>
            <a:rPr lang="en-US" sz="1350" b="1"/>
            <a:t>(3)</a:t>
          </a:r>
          <a:r>
            <a:rPr lang="en-US" sz="1350" b="0"/>
            <a:t>.</a:t>
          </a:r>
          <a:r>
            <a:rPr lang="en-US" sz="1350"/>
            <a:t> This funding supports initial planning, administration, and technical assistance activities to prepare for Home Energy Rebate Program Plans and lay the groundwork for state programs. </a:t>
          </a:r>
          <a:r>
            <a:rPr lang="en-US" sz="1350" b="1"/>
            <a:t>Early administrative funds</a:t>
          </a:r>
          <a:r>
            <a:rPr lang="en-US" sz="1350" b="1" baseline="0"/>
            <a:t> are subtracted from Tranche 1 allocations</a:t>
          </a:r>
          <a:r>
            <a:rPr lang="en-US" sz="1350" baseline="0"/>
            <a:t>. </a:t>
          </a:r>
          <a:r>
            <a:rPr lang="en-US" sz="1350"/>
            <a:t>See source </a:t>
          </a:r>
          <a:r>
            <a:rPr lang="en-US" sz="1350" b="1"/>
            <a:t>(3) </a:t>
          </a:r>
          <a:r>
            <a:rPr lang="en-US" sz="1350"/>
            <a:t>for more information. </a:t>
          </a:r>
        </a:p>
        <a:p>
          <a:endParaRPr lang="en-US" sz="1350"/>
        </a:p>
      </xdr:txBody>
    </xdr:sp>
    <xdr:clientData/>
  </xdr:oneCellAnchor>
</xdr:wsDr>
</file>

<file path=xl/drawings/drawing8.xml><?xml version="1.0" encoding="utf-8"?>
<c:userShapes xmlns:c="http://schemas.openxmlformats.org/drawingml/2006/chart">
  <cdr:relSizeAnchor xmlns:cdr="http://schemas.openxmlformats.org/drawingml/2006/chartDrawing">
    <cdr:from>
      <cdr:x>0.08762</cdr:x>
      <cdr:y>0</cdr:y>
    </cdr:from>
    <cdr:to>
      <cdr:x>0.08762</cdr:x>
      <cdr:y>1</cdr:y>
    </cdr:to>
    <cdr:cxnSp macro="">
      <cdr:nvCxnSpPr>
        <cdr:cNvPr id="3" name="Straight Connector 2">
          <a:extLst xmlns:a="http://schemas.openxmlformats.org/drawingml/2006/main">
            <a:ext uri="{FF2B5EF4-FFF2-40B4-BE49-F238E27FC236}">
              <a16:creationId xmlns:a16="http://schemas.microsoft.com/office/drawing/2014/main" id="{2C337C56-4AA9-BF41-6B85-7C613FE20852}"/>
            </a:ext>
          </a:extLst>
        </cdr:cNvPr>
        <cdr:cNvCxnSpPr/>
      </cdr:nvCxnSpPr>
      <cdr:spPr>
        <a:xfrm xmlns:a="http://schemas.openxmlformats.org/drawingml/2006/main">
          <a:off x="400261" y="0"/>
          <a:ext cx="0" cy="136588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0.35821</cdr:x>
      <cdr:y>0</cdr:y>
    </cdr:from>
    <cdr:to>
      <cdr:x>0.35821</cdr:x>
      <cdr:y>1</cdr:y>
    </cdr:to>
    <cdr:cxnSp macro="">
      <cdr:nvCxnSpPr>
        <cdr:cNvPr id="4" name="Straight Connector 3">
          <a:extLst xmlns:a="http://schemas.openxmlformats.org/drawingml/2006/main">
            <a:ext uri="{FF2B5EF4-FFF2-40B4-BE49-F238E27FC236}">
              <a16:creationId xmlns:a16="http://schemas.microsoft.com/office/drawing/2014/main" id="{B6D92EC0-722E-4A48-C5C3-C92B3F9756FF}"/>
            </a:ext>
          </a:extLst>
        </cdr:cNvPr>
        <cdr:cNvCxnSpPr/>
      </cdr:nvCxnSpPr>
      <cdr:spPr>
        <a:xfrm xmlns:a="http://schemas.openxmlformats.org/drawingml/2006/main">
          <a:off x="1636394" y="0"/>
          <a:ext cx="0" cy="136588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0.5824</cdr:x>
      <cdr:y>0</cdr:y>
    </cdr:from>
    <cdr:to>
      <cdr:x>0.5824</cdr:x>
      <cdr:y>1</cdr:y>
    </cdr:to>
    <cdr:cxnSp macro="">
      <cdr:nvCxnSpPr>
        <cdr:cNvPr id="5" name="Straight Connector 4">
          <a:extLst xmlns:a="http://schemas.openxmlformats.org/drawingml/2006/main">
            <a:ext uri="{FF2B5EF4-FFF2-40B4-BE49-F238E27FC236}">
              <a16:creationId xmlns:a16="http://schemas.microsoft.com/office/drawing/2014/main" id="{6569A897-2F99-52FF-C261-C96FC97BCE90}"/>
            </a:ext>
          </a:extLst>
        </cdr:cNvPr>
        <cdr:cNvCxnSpPr/>
      </cdr:nvCxnSpPr>
      <cdr:spPr>
        <a:xfrm xmlns:a="http://schemas.openxmlformats.org/drawingml/2006/main">
          <a:off x="2809225" y="0"/>
          <a:ext cx="0" cy="149560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0.94144</cdr:x>
      <cdr:y>0</cdr:y>
    </cdr:from>
    <cdr:to>
      <cdr:x>0.94144</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41072" y="0"/>
          <a:ext cx="0" cy="149560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0.08476</cdr:x>
      <cdr:y>0.03561</cdr:y>
    </cdr:from>
    <cdr:to>
      <cdr:x>0.08476</cdr:x>
      <cdr:y>1</cdr:y>
    </cdr:to>
    <cdr:cxnSp macro="">
      <cdr:nvCxnSpPr>
        <cdr:cNvPr id="4" name="Straight Connector 3">
          <a:extLst xmlns:a="http://schemas.openxmlformats.org/drawingml/2006/main">
            <a:ext uri="{FF2B5EF4-FFF2-40B4-BE49-F238E27FC236}">
              <a16:creationId xmlns:a16="http://schemas.microsoft.com/office/drawing/2014/main" id="{B6D92EC0-722E-4A48-C5C3-C92B3F9756FF}"/>
            </a:ext>
          </a:extLst>
        </cdr:cNvPr>
        <cdr:cNvCxnSpPr/>
      </cdr:nvCxnSpPr>
      <cdr:spPr>
        <a:xfrm xmlns:a="http://schemas.openxmlformats.org/drawingml/2006/main">
          <a:off x="400739" y="49588"/>
          <a:ext cx="0" cy="1342950"/>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0.26896</cdr:x>
      <cdr:y>0</cdr:y>
    </cdr:from>
    <cdr:to>
      <cdr:x>0.26896</cdr:x>
      <cdr:y>1</cdr:y>
    </cdr:to>
    <cdr:cxnSp macro="">
      <cdr:nvCxnSpPr>
        <cdr:cNvPr id="5" name="Straight Connector 4">
          <a:extLst xmlns:a="http://schemas.openxmlformats.org/drawingml/2006/main">
            <a:ext uri="{FF2B5EF4-FFF2-40B4-BE49-F238E27FC236}">
              <a16:creationId xmlns:a16="http://schemas.microsoft.com/office/drawing/2014/main" id="{6569A897-2F99-52FF-C261-C96FC97BCE90}"/>
            </a:ext>
          </a:extLst>
        </cdr:cNvPr>
        <cdr:cNvCxnSpPr/>
      </cdr:nvCxnSpPr>
      <cdr:spPr>
        <a:xfrm xmlns:a="http://schemas.openxmlformats.org/drawingml/2006/main">
          <a:off x="1271631" y="0"/>
          <a:ext cx="0" cy="1392538"/>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0.93863</cdr:x>
      <cdr:y>0</cdr:y>
    </cdr:from>
    <cdr:to>
      <cdr:x>0.93863</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45495" y="0"/>
          <a:ext cx="0" cy="137607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0.94166</cdr:x>
      <cdr:y>0</cdr:y>
    </cdr:from>
    <cdr:to>
      <cdr:x>0.94166</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51615" y="0"/>
          <a:ext cx="0" cy="1407795"/>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0.26713</cdr:x>
      <cdr:y>0</cdr:y>
    </cdr:from>
    <cdr:to>
      <cdr:x>0.26713</cdr:x>
      <cdr:y>1</cdr:y>
    </cdr:to>
    <cdr:cxnSp macro="">
      <cdr:nvCxnSpPr>
        <cdr:cNvPr id="3" name="Straight Connector 2">
          <a:extLst xmlns:a="http://schemas.openxmlformats.org/drawingml/2006/main">
            <a:ext uri="{FF2B5EF4-FFF2-40B4-BE49-F238E27FC236}">
              <a16:creationId xmlns:a16="http://schemas.microsoft.com/office/drawing/2014/main" id="{2C337C56-4AA9-BF41-6B85-7C613FE20852}"/>
            </a:ext>
          </a:extLst>
        </cdr:cNvPr>
        <cdr:cNvCxnSpPr/>
      </cdr:nvCxnSpPr>
      <cdr:spPr>
        <a:xfrm xmlns:a="http://schemas.openxmlformats.org/drawingml/2006/main">
          <a:off x="1289852" y="0"/>
          <a:ext cx="0" cy="1374564"/>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0.53687</cdr:x>
      <cdr:y>0</cdr:y>
    </cdr:from>
    <cdr:to>
      <cdr:x>0.53687</cdr:x>
      <cdr:y>1</cdr:y>
    </cdr:to>
    <cdr:cxnSp macro="">
      <cdr:nvCxnSpPr>
        <cdr:cNvPr id="4" name="Straight Connector 3">
          <a:extLst xmlns:a="http://schemas.openxmlformats.org/drawingml/2006/main">
            <a:ext uri="{FF2B5EF4-FFF2-40B4-BE49-F238E27FC236}">
              <a16:creationId xmlns:a16="http://schemas.microsoft.com/office/drawing/2014/main" id="{B6D92EC0-722E-4A48-C5C3-C92B3F9756FF}"/>
            </a:ext>
          </a:extLst>
        </cdr:cNvPr>
        <cdr:cNvCxnSpPr/>
      </cdr:nvCxnSpPr>
      <cdr:spPr>
        <a:xfrm xmlns:a="http://schemas.openxmlformats.org/drawingml/2006/main">
          <a:off x="2591589" y="0"/>
          <a:ext cx="0" cy="1378919"/>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0.76388</cdr:x>
      <cdr:y>0</cdr:y>
    </cdr:from>
    <cdr:to>
      <cdr:x>0.76388</cdr:x>
      <cdr:y>1</cdr:y>
    </cdr:to>
    <cdr:cxnSp macro="">
      <cdr:nvCxnSpPr>
        <cdr:cNvPr id="5" name="Straight Connector 4">
          <a:extLst xmlns:a="http://schemas.openxmlformats.org/drawingml/2006/main">
            <a:ext uri="{FF2B5EF4-FFF2-40B4-BE49-F238E27FC236}">
              <a16:creationId xmlns:a16="http://schemas.microsoft.com/office/drawing/2014/main" id="{6569A897-2F99-52FF-C261-C96FC97BCE90}"/>
            </a:ext>
          </a:extLst>
        </cdr:cNvPr>
        <cdr:cNvCxnSpPr/>
      </cdr:nvCxnSpPr>
      <cdr:spPr>
        <a:xfrm xmlns:a="http://schemas.openxmlformats.org/drawingml/2006/main">
          <a:off x="3688441" y="0"/>
          <a:ext cx="0" cy="1374564"/>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0.94144</cdr:x>
      <cdr:y>0</cdr:y>
    </cdr:from>
    <cdr:to>
      <cdr:x>0.94144</cdr:x>
      <cdr:y>1</cdr:y>
    </cdr:to>
    <cdr:cxnSp macro="">
      <cdr:nvCxnSpPr>
        <cdr:cNvPr id="2" name="Straight Connector 1">
          <a:extLst xmlns:a="http://schemas.openxmlformats.org/drawingml/2006/main">
            <a:ext uri="{FF2B5EF4-FFF2-40B4-BE49-F238E27FC236}">
              <a16:creationId xmlns:a16="http://schemas.microsoft.com/office/drawing/2014/main" id="{63144073-6EF5-408F-CD3D-8CF12E77A83A}"/>
            </a:ext>
          </a:extLst>
        </cdr:cNvPr>
        <cdr:cNvCxnSpPr/>
      </cdr:nvCxnSpPr>
      <cdr:spPr>
        <a:xfrm xmlns:a="http://schemas.openxmlformats.org/drawingml/2006/main">
          <a:off x="4545780" y="9525"/>
          <a:ext cx="0" cy="1374564"/>
        </a:xfrm>
        <a:prstGeom xmlns:a="http://schemas.openxmlformats.org/drawingml/2006/main" prst="line">
          <a:avLst/>
        </a:prstGeom>
        <a:ln xmlns:a="http://schemas.openxmlformats.org/drawingml/2006/main">
          <a:solidFill>
            <a:schemeClr val="accent1">
              <a:alpha val="8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nergy.gov/scep/articles/home-energy-rebate-programs-administrative-and-legal-requirement-document" TargetMode="External"/><Relationship Id="rId2" Type="http://schemas.openxmlformats.org/officeDocument/2006/relationships/hyperlink" Target="https://www.energy.gov/sites/default/files/2023-10/home-energy-rebate-administrative-and-legal-requirements-document_10-13-2023.pdf" TargetMode="External"/><Relationship Id="rId1" Type="http://schemas.openxmlformats.org/officeDocument/2006/relationships/hyperlink" Target="https://www.energy.gov/sites/default/files/2023-10/home-energy-rebate-programs-requirements-and-application-instructions_10-13-2023.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energy.gov/sites/default/files/2023-10/home-energy-rebate-programs-requirements-and-application-instructions_10-13-2023.pdf" TargetMode="External"/><Relationship Id="rId2" Type="http://schemas.openxmlformats.org/officeDocument/2006/relationships/hyperlink" Target="https://www.energy.gov/scep/articles/home-energy-rebate-programs-administrative-and-legal-requirement-document" TargetMode="External"/><Relationship Id="rId1" Type="http://schemas.openxmlformats.org/officeDocument/2006/relationships/hyperlink" Target="https://www.energy.gov/sites/default/files/2023-10/home-energy-rebate-administrative-and-legal-requirements-document_10-13-2023.pdf"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1BB7-C16F-447D-9681-07D177498453}">
  <sheetPr codeName="Sheet4"/>
  <dimension ref="D2:Q20"/>
  <sheetViews>
    <sheetView showGridLines="0" tabSelected="1" zoomScale="120" zoomScaleNormal="120" workbookViewId="0">
      <selection activeCell="G28" sqref="G28"/>
    </sheetView>
  </sheetViews>
  <sheetFormatPr defaultRowHeight="14.45"/>
  <sheetData>
    <row r="2" spans="4:17">
      <c r="D2" s="4"/>
    </row>
    <row r="3" spans="4:17" ht="15" thickBot="1"/>
    <row r="4" spans="4:17" ht="15" thickTop="1">
      <c r="L4" s="11"/>
      <c r="M4" s="12"/>
      <c r="N4" s="12"/>
      <c r="O4" s="12"/>
      <c r="P4" s="12"/>
      <c r="Q4" s="13"/>
    </row>
    <row r="5" spans="4:17">
      <c r="L5" s="14"/>
      <c r="M5" s="135" t="s">
        <v>0</v>
      </c>
      <c r="N5" s="135"/>
      <c r="O5" s="135"/>
      <c r="P5" s="135"/>
      <c r="Q5" s="15"/>
    </row>
    <row r="6" spans="4:17">
      <c r="L6" s="14"/>
      <c r="M6" s="135"/>
      <c r="N6" s="135"/>
      <c r="O6" s="135"/>
      <c r="P6" s="135"/>
      <c r="Q6" s="15"/>
    </row>
    <row r="7" spans="4:17" ht="5.45" customHeight="1" thickBot="1">
      <c r="L7" s="14"/>
      <c r="M7" s="16"/>
      <c r="N7" s="16"/>
      <c r="O7" s="16"/>
      <c r="P7" s="16"/>
      <c r="Q7" s="15"/>
    </row>
    <row r="8" spans="4:17" ht="15.6" thickTop="1" thickBot="1">
      <c r="L8" s="14"/>
      <c r="M8" s="17"/>
      <c r="N8" s="136" t="s">
        <v>1</v>
      </c>
      <c r="O8" s="137"/>
      <c r="P8" s="17"/>
      <c r="Q8" s="15"/>
    </row>
    <row r="9" spans="4:17" ht="15" thickTop="1">
      <c r="L9" s="14"/>
      <c r="M9" s="17"/>
      <c r="N9" s="17"/>
      <c r="O9" s="17"/>
      <c r="P9" s="17"/>
      <c r="Q9" s="15"/>
    </row>
    <row r="10" spans="4:17" ht="14.45" customHeight="1">
      <c r="L10" s="139" t="s">
        <v>2</v>
      </c>
      <c r="M10" s="140"/>
      <c r="N10" s="140"/>
      <c r="O10" s="140"/>
      <c r="P10" s="140"/>
      <c r="Q10" s="141"/>
    </row>
    <row r="11" spans="4:17" ht="14.45" customHeight="1">
      <c r="L11" s="139"/>
      <c r="M11" s="140"/>
      <c r="N11" s="140"/>
      <c r="O11" s="140"/>
      <c r="P11" s="140"/>
      <c r="Q11" s="141"/>
    </row>
    <row r="12" spans="4:17" ht="6" customHeight="1" thickBot="1">
      <c r="L12" s="14"/>
      <c r="M12" s="17"/>
      <c r="N12" s="17"/>
      <c r="O12" s="17"/>
      <c r="P12" s="17"/>
      <c r="Q12" s="15"/>
    </row>
    <row r="13" spans="4:17" ht="15.6" thickTop="1" thickBot="1">
      <c r="L13" s="14"/>
      <c r="M13" s="17"/>
      <c r="N13" s="136" t="s">
        <v>3</v>
      </c>
      <c r="O13" s="137"/>
      <c r="P13" s="17"/>
      <c r="Q13" s="15"/>
    </row>
    <row r="14" spans="4:17" ht="15" thickTop="1">
      <c r="L14" s="14"/>
      <c r="M14" s="17"/>
      <c r="N14" s="17"/>
      <c r="O14" s="17"/>
      <c r="P14" s="17"/>
      <c r="Q14" s="15"/>
    </row>
    <row r="15" spans="4:17" ht="15.6">
      <c r="L15" s="14"/>
      <c r="M15" s="138" t="s">
        <v>4</v>
      </c>
      <c r="N15" s="138"/>
      <c r="O15" s="138"/>
      <c r="P15" s="138"/>
      <c r="Q15" s="15"/>
    </row>
    <row r="16" spans="4:17" ht="4.7" customHeight="1" thickBot="1">
      <c r="L16" s="14"/>
      <c r="M16" s="17"/>
      <c r="N16" s="17"/>
      <c r="O16" s="17"/>
      <c r="P16" s="17"/>
      <c r="Q16" s="15"/>
    </row>
    <row r="17" spans="12:17" ht="15" thickTop="1">
      <c r="L17" s="14"/>
      <c r="M17" s="129" t="s">
        <v>5</v>
      </c>
      <c r="N17" s="130"/>
      <c r="O17" s="130"/>
      <c r="P17" s="131"/>
      <c r="Q17" s="15"/>
    </row>
    <row r="18" spans="12:17" ht="15" thickBot="1">
      <c r="L18" s="14"/>
      <c r="M18" s="132"/>
      <c r="N18" s="133"/>
      <c r="O18" s="133"/>
      <c r="P18" s="134"/>
      <c r="Q18" s="15"/>
    </row>
    <row r="19" spans="12:17" ht="15.6" thickTop="1" thickBot="1">
      <c r="L19" s="18"/>
      <c r="M19" s="19"/>
      <c r="N19" s="19"/>
      <c r="O19" s="19"/>
      <c r="P19" s="19"/>
      <c r="Q19" s="20"/>
    </row>
    <row r="20" spans="12:17" ht="15" thickTop="1"/>
  </sheetData>
  <mergeCells count="6">
    <mergeCell ref="M17:P18"/>
    <mergeCell ref="M5:P6"/>
    <mergeCell ref="N8:O8"/>
    <mergeCell ref="N13:O13"/>
    <mergeCell ref="M15:P15"/>
    <mergeCell ref="L10:Q11"/>
  </mergeCells>
  <dataValidations count="2">
    <dataValidation type="list" allowBlank="1" showInputMessage="1" showErrorMessage="1" sqref="N13:O13" xr:uid="{FE1585C2-964C-4237-ADFB-658ED1701CC4}">
      <formula1>"Yes,No"</formula1>
    </dataValidation>
    <dataValidation type="list" allowBlank="1" showInputMessage="1" showErrorMessage="1" sqref="M17" xr:uid="{6303DE9D-B1B7-40B4-B8EC-D8336A891B18}">
      <formula1>"Home Efficiency Rebates Program (50121),Home Electrification and Appliances Rebates Program (50122),Both 50121 and 50122"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403D4AC-4B59-4885-BBB6-CC52C3D41144}">
          <x14:formula1>
            <xm:f>DATAREF_50121!$A$3:$A$59</xm:f>
          </x14:formula1>
          <xm:sqref>N8:O8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AC7A-4F83-4F50-8EEA-89CDA92A707A}">
  <sheetPr codeName="Sheet9"/>
  <dimension ref="B1:AH110"/>
  <sheetViews>
    <sheetView showGridLines="0" zoomScale="104" zoomScaleNormal="90" workbookViewId="0">
      <selection activeCell="U20" sqref="U20"/>
    </sheetView>
  </sheetViews>
  <sheetFormatPr defaultRowHeight="14.45"/>
  <cols>
    <col min="5" max="5" width="3.85546875" customWidth="1"/>
    <col min="6" max="6" width="11.85546875" customWidth="1"/>
    <col min="7" max="7" width="16.85546875" bestFit="1" customWidth="1"/>
    <col min="8" max="8" width="3.42578125" customWidth="1"/>
    <col min="9" max="9" width="22.5703125" customWidth="1"/>
    <col min="10" max="10" width="21.85546875" customWidth="1"/>
    <col min="11" max="11" width="4.140625" customWidth="1"/>
    <col min="12" max="12" width="23.85546875" customWidth="1"/>
    <col min="13" max="13" width="4.140625" customWidth="1"/>
    <col min="14" max="14" width="20.140625" customWidth="1"/>
    <col min="15" max="15" width="1.5703125" customWidth="1"/>
    <col min="17" max="17" width="15.5703125" customWidth="1"/>
    <col min="21" max="21" width="17.5703125" customWidth="1"/>
    <col min="22" max="22" width="3.5703125" customWidth="1"/>
    <col min="23" max="23" width="14.85546875" customWidth="1"/>
    <col min="24" max="24" width="9.140625" customWidth="1"/>
    <col min="25" max="25" width="12.5703125" customWidth="1"/>
    <col min="26" max="26" width="21.5703125" customWidth="1"/>
    <col min="28" max="28" width="20.140625" customWidth="1"/>
  </cols>
  <sheetData>
    <row r="1" spans="2:29" ht="16.7" customHeight="1"/>
    <row r="2" spans="2:29" ht="23.45">
      <c r="G2" s="110" t="s">
        <v>6</v>
      </c>
      <c r="I2" s="152" t="str">
        <f>StartHere!N8 &amp; " will receive total program allocations of up to " &amp; TEXT(ROUND(VLOOKUP($E$3, DATAREF_50121!A:I, 2, FALSE), 0), "$#,##0") &amp; "." &amp; CHAR(10) &amp; StartHere!N8 &amp; " may spend up to 20% of total allocations on program administration, which is " &amp; TEXT(ROUND(VLOOKUP($E$3, DATAREF_50121!A:I, 3, FALSE), 0), "$#,##0") &amp; "." &amp; CHAR(10) &amp; "See source (1) below for " &amp; StartHere!N8 &amp; "’s allocations and requirements."</f>
        <v>Select State will receive total program allocations of up to $0.
Select State may spend up to 20% of total allocations on program administration, which is $0.
See source (1) below for Select State’s allocations and requirements.</v>
      </c>
      <c r="J2" s="152"/>
      <c r="K2" s="152"/>
      <c r="L2" s="152"/>
      <c r="M2" s="152"/>
      <c r="N2" s="152"/>
      <c r="O2" s="152"/>
      <c r="P2" s="152"/>
      <c r="Q2" s="152"/>
      <c r="R2" s="152"/>
      <c r="S2" s="152"/>
      <c r="T2" s="152"/>
    </row>
    <row r="3" spans="2:29" ht="18.600000000000001">
      <c r="B3" s="21"/>
      <c r="C3" s="21"/>
      <c r="D3" s="22" t="s">
        <v>7</v>
      </c>
      <c r="E3" s="23" t="str">
        <f>StartHere!N8</f>
        <v>Select State</v>
      </c>
      <c r="I3" s="152"/>
      <c r="J3" s="152"/>
      <c r="K3" s="152"/>
      <c r="L3" s="152"/>
      <c r="M3" s="152"/>
      <c r="N3" s="152"/>
      <c r="O3" s="152"/>
      <c r="P3" s="152"/>
      <c r="Q3" s="152"/>
      <c r="R3" s="152"/>
      <c r="S3" s="152"/>
      <c r="T3" s="152"/>
    </row>
    <row r="4" spans="2:29" ht="18" customHeight="1">
      <c r="I4" s="152"/>
      <c r="J4" s="152"/>
      <c r="K4" s="152"/>
      <c r="L4" s="152"/>
      <c r="M4" s="152"/>
      <c r="N4" s="152"/>
      <c r="O4" s="152"/>
      <c r="P4" s="152"/>
      <c r="Q4" s="152"/>
      <c r="R4" s="152"/>
      <c r="S4" s="152"/>
      <c r="T4" s="152"/>
    </row>
    <row r="5" spans="2:29" ht="17.45" customHeight="1">
      <c r="W5" s="75"/>
      <c r="X5" s="75"/>
      <c r="Y5" s="75"/>
      <c r="Z5" s="75"/>
      <c r="AA5" s="75"/>
      <c r="AB5" s="75"/>
      <c r="AC5" s="75"/>
    </row>
    <row r="6" spans="2:29" ht="17.45" customHeight="1">
      <c r="I6" s="27"/>
      <c r="L6" s="55"/>
      <c r="M6" s="55"/>
      <c r="N6" s="74"/>
      <c r="P6" s="10"/>
      <c r="Q6" s="73"/>
      <c r="W6" s="75"/>
      <c r="X6" s="75"/>
      <c r="Y6" s="75"/>
      <c r="Z6" s="76" t="s">
        <v>8</v>
      </c>
      <c r="AA6" s="75"/>
      <c r="AB6" s="88" t="s">
        <v>9</v>
      </c>
      <c r="AC6" s="75"/>
    </row>
    <row r="7" spans="2:29" ht="17.45" customHeight="1">
      <c r="I7" s="27"/>
      <c r="L7" s="55"/>
      <c r="M7" s="55"/>
      <c r="P7" s="10"/>
      <c r="Q7" s="5"/>
      <c r="W7" s="75"/>
      <c r="X7" s="75"/>
      <c r="Y7" s="77" t="s">
        <v>10</v>
      </c>
      <c r="Z7" s="114">
        <v>15000000</v>
      </c>
      <c r="AA7" s="75"/>
      <c r="AB7" s="87" t="str">
        <f>IFERROR(Z7/VLOOKUP($E$3, DATAREF_50121!A:I, 2, FALSE), "")</f>
        <v/>
      </c>
      <c r="AC7" s="75"/>
    </row>
    <row r="8" spans="2:29" ht="17.45" customHeight="1">
      <c r="I8" s="27"/>
      <c r="L8" s="55"/>
      <c r="M8" s="55"/>
      <c r="P8" s="10"/>
      <c r="Q8" s="5"/>
      <c r="W8" s="75"/>
      <c r="X8" s="75"/>
      <c r="Y8" s="77" t="s">
        <v>11</v>
      </c>
      <c r="Z8" s="114">
        <v>6500000</v>
      </c>
      <c r="AA8" s="75"/>
      <c r="AB8" s="87" t="str">
        <f>IFERROR(Z8/VLOOKUP($E$3, DATAREF_50121!A:I, 7, FALSE),"")</f>
        <v/>
      </c>
      <c r="AC8" s="75"/>
    </row>
    <row r="9" spans="2:29" ht="17.45" customHeight="1">
      <c r="I9" s="27"/>
      <c r="L9" s="55"/>
      <c r="M9" s="55"/>
      <c r="P9" s="10"/>
      <c r="Q9" s="5"/>
      <c r="W9" s="75"/>
      <c r="X9" s="75"/>
      <c r="Y9" s="77" t="s">
        <v>12</v>
      </c>
      <c r="Z9" s="114">
        <v>800000</v>
      </c>
      <c r="AA9" s="75"/>
      <c r="AB9" s="87" t="str">
        <f>IFERROR(Z9/VLOOKUP($E$3, DATAREF_50121!A:I, 8, FALSE),"")</f>
        <v/>
      </c>
      <c r="AC9" s="75"/>
    </row>
    <row r="10" spans="2:29" ht="17.45" customHeight="1">
      <c r="I10" s="27"/>
      <c r="L10" s="55"/>
      <c r="M10" s="55"/>
      <c r="P10" s="10"/>
      <c r="Q10" s="5"/>
      <c r="W10" s="75"/>
      <c r="X10" s="75"/>
      <c r="Y10" s="77" t="s">
        <v>13</v>
      </c>
      <c r="Z10" s="114">
        <v>5000000</v>
      </c>
      <c r="AA10" s="75"/>
      <c r="AB10" s="87" t="str">
        <f>IFERROR(Z10/VLOOKUP($E$3, DATAREF_50121!A:I, 3, FALSE),"")</f>
        <v/>
      </c>
      <c r="AC10" s="75"/>
    </row>
    <row r="11" spans="2:29" ht="17.45" customHeight="1">
      <c r="I11" s="27"/>
      <c r="P11" s="10"/>
      <c r="Q11" s="5"/>
      <c r="W11" s="95" t="s">
        <v>14</v>
      </c>
      <c r="X11" s="75"/>
      <c r="Y11" s="75"/>
      <c r="Z11" s="75"/>
      <c r="AA11" s="75"/>
      <c r="AB11" s="75"/>
      <c r="AC11" s="75"/>
    </row>
    <row r="12" spans="2:29" ht="32.1" customHeight="1">
      <c r="F12" s="159" t="s">
        <v>15</v>
      </c>
      <c r="G12" s="159"/>
      <c r="H12" s="159"/>
      <c r="I12" s="159"/>
      <c r="J12" s="159"/>
      <c r="K12" s="159"/>
      <c r="L12" s="159"/>
      <c r="M12" s="159"/>
      <c r="N12" s="159"/>
      <c r="P12" s="10"/>
      <c r="Q12" s="5"/>
      <c r="W12" s="95"/>
      <c r="X12" s="75"/>
      <c r="Y12" s="75"/>
      <c r="Z12" s="75"/>
      <c r="AA12" s="75"/>
      <c r="AB12" s="75"/>
      <c r="AC12" s="75"/>
    </row>
    <row r="13" spans="2:29" ht="8.1" customHeight="1">
      <c r="W13" s="95"/>
      <c r="X13" s="75"/>
      <c r="Y13" s="75"/>
      <c r="Z13" s="75"/>
      <c r="AA13" s="75"/>
      <c r="AB13" s="75"/>
      <c r="AC13" s="75"/>
    </row>
    <row r="14" spans="2:29" ht="17.45" customHeight="1">
      <c r="B14" s="96"/>
      <c r="C14" s="97"/>
      <c r="D14" s="97"/>
      <c r="E14" s="97"/>
      <c r="F14" s="97"/>
      <c r="G14" s="97"/>
      <c r="H14" s="97"/>
      <c r="I14" s="97"/>
      <c r="J14" s="97"/>
      <c r="K14" s="97"/>
      <c r="L14" s="97"/>
      <c r="M14" s="97"/>
      <c r="N14" s="97"/>
      <c r="O14" s="97"/>
      <c r="P14" s="97"/>
      <c r="Q14" s="97"/>
      <c r="R14" s="97"/>
      <c r="S14" s="97"/>
      <c r="T14" s="98"/>
      <c r="W14" s="95"/>
      <c r="X14" s="75"/>
      <c r="Y14" s="75"/>
      <c r="Z14" s="75"/>
      <c r="AA14" s="75"/>
      <c r="AB14" s="75"/>
      <c r="AC14" s="75"/>
    </row>
    <row r="15" spans="2:29" ht="17.45" customHeight="1">
      <c r="B15" s="99"/>
      <c r="F15" s="100" t="str">
        <f>"You applied for early administrative funds of up to 2.5% of your total program allocations of " &amp;TEXT(ROUND(VLOOKUP($E$3, DATAREF_50121!A:I, 2, FALSE), 0), "$#,##0") &amp;"."</f>
        <v>You applied for early administrative funds of up to 2.5% of your total program allocations of $0.</v>
      </c>
      <c r="G15" s="100"/>
      <c r="H15" s="100"/>
      <c r="I15" s="100"/>
      <c r="J15" s="100"/>
      <c r="K15" s="100"/>
      <c r="L15" s="100"/>
      <c r="T15" s="101"/>
      <c r="W15" s="95"/>
      <c r="X15" s="75"/>
      <c r="Y15" s="75"/>
      <c r="Z15" s="75"/>
      <c r="AA15" s="75"/>
      <c r="AB15" s="75"/>
      <c r="AC15" s="75"/>
    </row>
    <row r="16" spans="2:29" ht="17.45" customHeight="1">
      <c r="B16" s="99"/>
      <c r="F16" s="109" t="s">
        <v>16</v>
      </c>
      <c r="G16" s="100"/>
      <c r="H16" s="100"/>
      <c r="I16" s="100"/>
      <c r="J16" s="100"/>
      <c r="K16" s="100"/>
      <c r="L16" s="100"/>
      <c r="T16" s="101"/>
      <c r="W16" s="95"/>
      <c r="X16" s="75"/>
      <c r="Y16" s="75"/>
      <c r="Z16" s="75"/>
      <c r="AA16" s="75"/>
      <c r="AB16" s="75"/>
      <c r="AC16" s="75"/>
    </row>
    <row r="17" spans="2:30" ht="17.45" customHeight="1">
      <c r="B17" s="99"/>
      <c r="F17" s="100" t="s">
        <v>17</v>
      </c>
      <c r="G17" s="100"/>
      <c r="H17" s="100"/>
      <c r="I17" s="100"/>
      <c r="J17" s="100"/>
      <c r="K17" s="100"/>
      <c r="L17" s="116"/>
      <c r="T17" s="101"/>
      <c r="W17" s="95"/>
      <c r="X17" s="75"/>
      <c r="Y17" s="75"/>
      <c r="Z17" s="75"/>
      <c r="AA17" s="75"/>
      <c r="AB17" s="75"/>
      <c r="AC17" s="75"/>
    </row>
    <row r="18" spans="2:30" ht="17.45" customHeight="1">
      <c r="B18" s="99"/>
      <c r="F18" s="100"/>
      <c r="G18" s="100"/>
      <c r="H18" s="100"/>
      <c r="I18" s="100"/>
      <c r="J18" s="100"/>
      <c r="K18" s="100"/>
      <c r="L18" s="100"/>
      <c r="T18" s="101"/>
      <c r="W18" s="95"/>
      <c r="X18" s="75"/>
      <c r="Y18" s="75"/>
      <c r="Z18" s="75"/>
      <c r="AA18" s="75"/>
      <c r="AB18" s="75"/>
      <c r="AC18" s="75"/>
    </row>
    <row r="19" spans="2:30" ht="17.45" customHeight="1">
      <c r="B19" s="99"/>
      <c r="F19" s="100"/>
      <c r="G19" s="100"/>
      <c r="H19" s="100"/>
      <c r="I19" s="100"/>
      <c r="J19" s="100"/>
      <c r="K19" s="100"/>
      <c r="L19" s="100"/>
      <c r="T19" s="101"/>
      <c r="W19" s="95"/>
      <c r="X19" s="75"/>
      <c r="Y19" s="75"/>
      <c r="Z19" s="75"/>
      <c r="AA19" s="75"/>
      <c r="AB19" s="75"/>
      <c r="AC19" s="75"/>
    </row>
    <row r="20" spans="2:30" ht="17.45" customHeight="1">
      <c r="B20" s="99"/>
      <c r="F20" s="100"/>
      <c r="G20" s="100"/>
      <c r="H20" s="100"/>
      <c r="I20" s="100"/>
      <c r="J20" s="100"/>
      <c r="K20" s="100"/>
      <c r="L20" s="100"/>
      <c r="T20" s="101"/>
      <c r="W20" s="95"/>
      <c r="X20" s="75"/>
      <c r="Y20" s="75"/>
      <c r="Z20" s="75"/>
      <c r="AA20" s="75"/>
      <c r="AB20" s="75"/>
      <c r="AC20" s="75"/>
    </row>
    <row r="21" spans="2:30" ht="17.45" customHeight="1">
      <c r="B21" s="99"/>
      <c r="F21" s="100"/>
      <c r="G21" s="100"/>
      <c r="H21" s="100"/>
      <c r="I21" s="100"/>
      <c r="J21" s="100"/>
      <c r="K21" s="100"/>
      <c r="L21" s="100"/>
      <c r="T21" s="101"/>
      <c r="W21" s="95"/>
      <c r="X21" s="75"/>
      <c r="Y21" s="75"/>
      <c r="Z21" s="75"/>
      <c r="AA21" s="75"/>
      <c r="AB21" s="75"/>
      <c r="AC21" s="75"/>
    </row>
    <row r="22" spans="2:30" ht="13.7" customHeight="1">
      <c r="B22" s="102"/>
      <c r="C22" s="103"/>
      <c r="D22" s="103"/>
      <c r="E22" s="103"/>
      <c r="F22" s="103"/>
      <c r="G22" s="103"/>
      <c r="H22" s="103"/>
      <c r="I22" s="103"/>
      <c r="J22" s="103"/>
      <c r="K22" s="103"/>
      <c r="L22" s="103"/>
      <c r="M22" s="103"/>
      <c r="N22" s="103"/>
      <c r="O22" s="103"/>
      <c r="P22" s="103"/>
      <c r="Q22" s="103"/>
      <c r="R22" s="103"/>
      <c r="S22" s="103"/>
      <c r="T22" s="104"/>
      <c r="W22" s="95"/>
      <c r="X22" s="75"/>
      <c r="Y22" s="75"/>
      <c r="Z22" s="75"/>
      <c r="AA22" s="75"/>
      <c r="AB22" s="75"/>
      <c r="AC22" s="75"/>
    </row>
    <row r="23" spans="2:30" ht="13.7" hidden="1" customHeight="1">
      <c r="G23" t="s">
        <v>18</v>
      </c>
      <c r="I23" s="115">
        <f>VLOOKUP($E$3, DATAREF_50121!A:I, 2, FALSE)</f>
        <v>0</v>
      </c>
      <c r="W23" s="95"/>
      <c r="X23" s="75"/>
      <c r="Y23" s="75"/>
      <c r="Z23" s="75"/>
      <c r="AA23" s="75"/>
      <c r="AB23" s="75"/>
      <c r="AC23" s="75"/>
    </row>
    <row r="24" spans="2:30" ht="13.7" customHeight="1">
      <c r="W24" s="95"/>
      <c r="X24" s="75"/>
      <c r="Y24" s="75"/>
      <c r="Z24" s="75"/>
      <c r="AA24" s="75"/>
      <c r="AB24" s="75"/>
      <c r="AC24" s="75"/>
    </row>
    <row r="25" spans="2:30">
      <c r="B25" s="35"/>
      <c r="C25" s="33"/>
      <c r="D25" s="33"/>
      <c r="E25" s="33"/>
      <c r="F25" s="33"/>
      <c r="G25" s="33"/>
      <c r="H25" s="33"/>
      <c r="I25" s="33"/>
      <c r="J25" s="33"/>
      <c r="K25" s="33"/>
      <c r="L25" s="34"/>
      <c r="M25" s="34"/>
      <c r="N25" s="33"/>
      <c r="O25" s="33"/>
      <c r="P25" s="33"/>
      <c r="Q25" s="33"/>
      <c r="R25" s="33"/>
      <c r="S25" s="33"/>
      <c r="T25" s="37"/>
      <c r="W25" s="75"/>
      <c r="X25" s="75"/>
      <c r="Y25" s="75"/>
      <c r="Z25" s="75"/>
      <c r="AA25" s="75"/>
      <c r="AB25" s="75"/>
      <c r="AC25" s="75"/>
    </row>
    <row r="26" spans="2:30">
      <c r="B26" s="36"/>
      <c r="L26" s="28"/>
      <c r="M26" s="28"/>
      <c r="T26" s="38"/>
      <c r="W26" s="75"/>
      <c r="X26" s="75"/>
      <c r="Y26" s="75"/>
      <c r="Z26" s="75"/>
      <c r="AA26" s="75"/>
      <c r="AB26" s="75"/>
      <c r="AC26" s="75"/>
    </row>
    <row r="27" spans="2:30" ht="18.600000000000001">
      <c r="B27" s="36"/>
      <c r="F27" s="24"/>
      <c r="J27" s="22" t="s">
        <v>19</v>
      </c>
      <c r="L27" s="112" cm="1">
        <f t="array" ref="L27">0.25*TotalFunds50121-EarlyAdmin50121</f>
        <v>0</v>
      </c>
      <c r="N27" s="93" t="s">
        <v>20</v>
      </c>
      <c r="T27" s="38"/>
      <c r="W27" s="81"/>
      <c r="X27" s="75"/>
      <c r="Y27" s="75"/>
      <c r="Z27" s="75"/>
      <c r="AA27" s="75"/>
      <c r="AB27" s="75"/>
      <c r="AC27" s="75"/>
    </row>
    <row r="28" spans="2:30" ht="6.6" customHeight="1">
      <c r="B28" s="36"/>
      <c r="L28" s="28"/>
      <c r="M28" s="28"/>
      <c r="T28" s="38"/>
      <c r="W28" s="85"/>
      <c r="X28" s="75"/>
      <c r="Y28" s="75"/>
      <c r="Z28" s="75"/>
      <c r="AA28" s="75"/>
      <c r="AB28" s="75"/>
      <c r="AC28" s="75"/>
    </row>
    <row r="29" spans="2:30" ht="9" customHeight="1">
      <c r="B29" s="36"/>
      <c r="E29" s="26"/>
      <c r="F29" s="26"/>
      <c r="G29" s="26"/>
      <c r="H29" s="26"/>
      <c r="I29" s="26"/>
      <c r="J29" s="26"/>
      <c r="K29" s="26"/>
      <c r="L29" s="28"/>
      <c r="M29" s="28"/>
      <c r="T29" s="38"/>
      <c r="W29" s="75"/>
      <c r="X29" s="75"/>
      <c r="Y29" s="75"/>
      <c r="Z29" s="75"/>
      <c r="AA29" s="75"/>
      <c r="AB29" s="75"/>
      <c r="AC29" s="75"/>
    </row>
    <row r="30" spans="2:30" ht="22.35" customHeight="1">
      <c r="B30" s="36"/>
      <c r="E30" s="56"/>
      <c r="F30" s="153" t="s">
        <v>21</v>
      </c>
      <c r="G30" s="153"/>
      <c r="H30" s="153"/>
      <c r="I30" s="153"/>
      <c r="J30" s="154"/>
      <c r="K30" s="56"/>
      <c r="L30" s="58"/>
      <c r="M30" s="59"/>
      <c r="N30" s="59"/>
      <c r="O30" s="59"/>
      <c r="P30" s="59"/>
      <c r="Q30" s="57"/>
      <c r="R30" s="60"/>
      <c r="T30" s="38"/>
      <c r="W30" s="75"/>
      <c r="X30" s="75"/>
      <c r="Y30" s="75"/>
      <c r="Z30" s="75"/>
      <c r="AA30" s="75"/>
      <c r="AB30" s="75"/>
      <c r="AC30" s="75"/>
    </row>
    <row r="31" spans="2:30" ht="19.350000000000001" customHeight="1">
      <c r="B31" s="36"/>
      <c r="E31" s="61"/>
      <c r="F31" s="155"/>
      <c r="G31" s="155"/>
      <c r="H31" s="155"/>
      <c r="I31" s="155"/>
      <c r="J31" s="156"/>
      <c r="K31" s="61"/>
      <c r="L31" s="157" t="s">
        <v>22</v>
      </c>
      <c r="M31" s="157"/>
      <c r="N31" s="157"/>
      <c r="O31" s="157"/>
      <c r="P31" s="157"/>
      <c r="Q31" s="157"/>
      <c r="R31" s="158"/>
      <c r="T31" s="38"/>
      <c r="W31" s="75"/>
      <c r="X31" s="75"/>
      <c r="Y31" s="75"/>
      <c r="Z31" s="75"/>
      <c r="AA31" s="75"/>
      <c r="AB31" s="75"/>
      <c r="AC31" s="75"/>
    </row>
    <row r="32" spans="2:30" ht="14.45" customHeight="1">
      <c r="B32" s="36"/>
      <c r="E32" s="61"/>
      <c r="H32" s="26"/>
      <c r="J32" s="68"/>
      <c r="K32" s="61"/>
      <c r="L32" s="69"/>
      <c r="M32" s="28"/>
      <c r="N32" s="26"/>
      <c r="O32" s="26"/>
      <c r="P32" s="26"/>
      <c r="Q32" s="26"/>
      <c r="R32" s="62"/>
      <c r="T32" s="38"/>
      <c r="W32" s="75"/>
      <c r="X32" s="75"/>
      <c r="Y32" s="75"/>
      <c r="Z32" s="75"/>
      <c r="AA32" s="75"/>
      <c r="AB32" s="75"/>
      <c r="AC32" s="78"/>
      <c r="AD32" s="31"/>
    </row>
    <row r="33" spans="2:34" ht="24.6" customHeight="1">
      <c r="B33" s="36"/>
      <c r="E33" s="63"/>
      <c r="F33" s="150">
        <f>VLOOKUP($E$3, DATAREF_50121!A:I, 7, FALSE)*0.05</f>
        <v>0</v>
      </c>
      <c r="G33" s="151"/>
      <c r="I33" s="30" t="s">
        <v>23</v>
      </c>
      <c r="K33" s="63"/>
      <c r="L33" s="111">
        <f>VLOOKUP($E$3, DATAREF_50121!A:I, 7, FALSE)*0.1</f>
        <v>0</v>
      </c>
      <c r="M33" s="64" t="s">
        <v>24</v>
      </c>
      <c r="N33" s="111">
        <f>VLOOKUP($E$3, DATAREF_50121!A:I, 7, FALSE)*0.15</f>
        <v>0</v>
      </c>
      <c r="O33" s="70"/>
      <c r="P33" s="31" t="s">
        <v>25</v>
      </c>
      <c r="R33" s="62"/>
      <c r="T33" s="38"/>
      <c r="W33" s="75"/>
      <c r="X33" s="75"/>
      <c r="Y33" s="75"/>
      <c r="Z33" s="75"/>
      <c r="AA33" s="75"/>
      <c r="AB33" s="75"/>
      <c r="AC33" s="78"/>
      <c r="AD33" s="31"/>
    </row>
    <row r="34" spans="2:34" ht="16.7" customHeight="1">
      <c r="B34" s="36"/>
      <c r="E34" s="65"/>
      <c r="F34" s="66"/>
      <c r="G34" s="66"/>
      <c r="H34" s="66"/>
      <c r="I34" s="66"/>
      <c r="J34" s="66"/>
      <c r="K34" s="65"/>
      <c r="L34" s="66"/>
      <c r="M34" s="66"/>
      <c r="N34" s="66"/>
      <c r="O34" s="66"/>
      <c r="P34" s="66"/>
      <c r="Q34" s="66"/>
      <c r="R34" s="67"/>
      <c r="T34" s="38"/>
      <c r="W34" s="75"/>
      <c r="X34" s="75"/>
      <c r="Y34" s="75"/>
      <c r="Z34" s="75"/>
      <c r="AA34" s="75"/>
      <c r="AB34" s="75"/>
      <c r="AC34" s="75"/>
    </row>
    <row r="35" spans="2:34" ht="14.45" customHeight="1">
      <c r="B35" s="36"/>
      <c r="R35" s="50" t="s">
        <v>26</v>
      </c>
      <c r="T35" s="38"/>
      <c r="W35" s="75"/>
      <c r="X35" s="75"/>
      <c r="Y35" s="75"/>
      <c r="Z35" s="75"/>
      <c r="AA35" s="75"/>
      <c r="AB35" s="75"/>
      <c r="AC35" s="75"/>
    </row>
    <row r="36" spans="2:34" ht="18.600000000000001">
      <c r="B36" s="36"/>
      <c r="E36" s="24" t="s">
        <v>27</v>
      </c>
      <c r="T36" s="38"/>
      <c r="W36" s="75"/>
      <c r="X36" s="75"/>
      <c r="Y36" s="75"/>
      <c r="Z36" s="75"/>
      <c r="AA36" s="75"/>
      <c r="AB36" s="75"/>
      <c r="AC36" s="75"/>
    </row>
    <row r="37" spans="2:34" ht="18.600000000000001">
      <c r="B37" s="36"/>
      <c r="E37" s="24" t="s">
        <v>28</v>
      </c>
      <c r="T37" s="38"/>
      <c r="W37" s="79"/>
      <c r="X37" s="80"/>
      <c r="Y37" s="80"/>
      <c r="Z37" s="75"/>
      <c r="AA37" s="81"/>
      <c r="AB37" s="75"/>
      <c r="AC37" s="75"/>
    </row>
    <row r="38" spans="2:34" ht="18.600000000000001">
      <c r="B38" s="39"/>
      <c r="C38" s="40"/>
      <c r="D38" s="40"/>
      <c r="E38" s="40"/>
      <c r="F38" s="40"/>
      <c r="G38" s="40"/>
      <c r="H38" s="40"/>
      <c r="I38" s="40"/>
      <c r="J38" s="40"/>
      <c r="K38" s="40"/>
      <c r="L38" s="40"/>
      <c r="M38" s="40"/>
      <c r="N38" s="40"/>
      <c r="O38" s="40"/>
      <c r="P38" s="40"/>
      <c r="Q38" s="40"/>
      <c r="R38" s="40"/>
      <c r="S38" s="40"/>
      <c r="T38" s="41"/>
      <c r="W38" s="79"/>
      <c r="X38" s="80"/>
      <c r="Y38" s="80"/>
      <c r="Z38" s="75"/>
      <c r="AA38" s="81"/>
      <c r="AB38" s="75"/>
      <c r="AC38" s="75"/>
    </row>
    <row r="39" spans="2:34" ht="18.600000000000001">
      <c r="B39" s="33"/>
      <c r="W39" s="79"/>
      <c r="X39" s="75"/>
      <c r="Y39" s="75"/>
      <c r="Z39" s="75"/>
      <c r="AA39" s="75"/>
      <c r="AB39" s="75"/>
      <c r="AC39" s="75"/>
    </row>
    <row r="40" spans="2:34" ht="18.600000000000001">
      <c r="B40" s="35"/>
      <c r="C40" s="33"/>
      <c r="D40" s="33"/>
      <c r="E40" s="33"/>
      <c r="F40" s="33"/>
      <c r="G40" s="33"/>
      <c r="H40" s="33"/>
      <c r="I40" s="33"/>
      <c r="J40" s="33"/>
      <c r="K40" s="33"/>
      <c r="L40" s="34"/>
      <c r="M40" s="34"/>
      <c r="N40" s="33"/>
      <c r="O40" s="33"/>
      <c r="P40" s="33"/>
      <c r="Q40" s="33"/>
      <c r="R40" s="33"/>
      <c r="S40" s="33"/>
      <c r="T40" s="37"/>
      <c r="W40" s="79"/>
      <c r="X40" s="80"/>
      <c r="Y40" s="75"/>
      <c r="Z40" s="82"/>
      <c r="AA40" s="75"/>
      <c r="AB40" s="78"/>
      <c r="AC40" s="75"/>
    </row>
    <row r="41" spans="2:34" ht="18.600000000000001">
      <c r="B41" s="36"/>
      <c r="L41" s="28"/>
      <c r="M41" s="28"/>
      <c r="T41" s="38"/>
      <c r="W41" s="79"/>
      <c r="X41" s="80"/>
      <c r="Y41" s="75"/>
      <c r="Z41" s="82"/>
      <c r="AA41" s="75"/>
      <c r="AB41" s="78"/>
      <c r="AC41" s="75"/>
    </row>
    <row r="42" spans="2:34" ht="18.600000000000001">
      <c r="B42" s="36"/>
      <c r="F42" s="24"/>
      <c r="J42" s="22" t="s">
        <v>29</v>
      </c>
      <c r="L42" s="112">
        <f>0.3*TotalFunds50121</f>
        <v>0</v>
      </c>
      <c r="M42" s="29"/>
      <c r="N42" s="93" t="s">
        <v>30</v>
      </c>
      <c r="T42" s="38"/>
      <c r="W42" s="75"/>
      <c r="X42" s="75"/>
      <c r="Y42" s="75"/>
      <c r="Z42" s="75"/>
      <c r="AA42" s="75"/>
      <c r="AB42" s="75"/>
      <c r="AC42" s="75"/>
    </row>
    <row r="43" spans="2:34" ht="6.6" customHeight="1">
      <c r="B43" s="36"/>
      <c r="L43" s="28"/>
      <c r="M43" s="28"/>
      <c r="T43" s="38"/>
      <c r="W43" s="75"/>
      <c r="X43" s="75"/>
      <c r="Y43" s="75"/>
      <c r="Z43" s="75"/>
      <c r="AA43" s="75"/>
      <c r="AB43" s="75"/>
      <c r="AC43" s="75"/>
    </row>
    <row r="44" spans="2:34" ht="14.45" customHeight="1">
      <c r="B44" s="36"/>
      <c r="J44" s="54" t="s">
        <v>31</v>
      </c>
      <c r="L44" s="113">
        <f>0.55*TotalFunds50121</f>
        <v>0</v>
      </c>
      <c r="M44" s="28"/>
      <c r="N44" s="128"/>
      <c r="Q44" s="128"/>
      <c r="T44" s="38"/>
      <c r="W44" s="75"/>
      <c r="X44" s="75"/>
      <c r="Y44" s="75"/>
      <c r="Z44" s="75"/>
      <c r="AA44" s="75"/>
      <c r="AB44" s="75"/>
      <c r="AC44" s="75"/>
    </row>
    <row r="45" spans="2:34" ht="9" customHeight="1">
      <c r="B45" s="36"/>
      <c r="E45" s="26"/>
      <c r="F45" s="26"/>
      <c r="G45" s="26"/>
      <c r="H45" s="26"/>
      <c r="I45" s="26"/>
      <c r="J45" s="26"/>
      <c r="K45" s="26"/>
      <c r="L45" s="26"/>
      <c r="M45" s="28"/>
      <c r="T45" s="38"/>
      <c r="W45" s="75"/>
      <c r="X45" s="75"/>
      <c r="Y45" s="75"/>
      <c r="Z45" s="75"/>
      <c r="AA45" s="75"/>
      <c r="AB45" s="75"/>
      <c r="AC45" s="75"/>
    </row>
    <row r="46" spans="2:34" ht="10.7" customHeight="1">
      <c r="B46" s="36"/>
      <c r="S46" s="44"/>
      <c r="T46" s="45"/>
      <c r="U46" s="26"/>
      <c r="V46" s="26"/>
      <c r="W46" s="75"/>
      <c r="X46" s="75"/>
      <c r="Y46" s="75"/>
      <c r="Z46" s="75"/>
      <c r="AA46" s="75"/>
      <c r="AB46" s="75"/>
      <c r="AC46" s="81"/>
      <c r="AD46" s="28"/>
      <c r="AF46" s="44"/>
      <c r="AG46" s="44"/>
      <c r="AH46" s="44"/>
    </row>
    <row r="47" spans="2:34" ht="20.45" customHeight="1">
      <c r="B47" s="36"/>
      <c r="E47" s="71"/>
      <c r="F47" s="142" t="s">
        <v>32</v>
      </c>
      <c r="G47" s="142"/>
      <c r="H47" s="142"/>
      <c r="I47" s="142"/>
      <c r="J47" s="143"/>
      <c r="K47" s="71"/>
      <c r="L47" s="146" t="s">
        <v>33</v>
      </c>
      <c r="M47" s="146"/>
      <c r="N47" s="146"/>
      <c r="O47" s="146"/>
      <c r="P47" s="146"/>
      <c r="Q47" s="146"/>
      <c r="R47" s="146"/>
      <c r="S47" s="147"/>
      <c r="T47" s="45"/>
      <c r="U47" s="26"/>
      <c r="V47" s="26"/>
      <c r="W47" s="75"/>
      <c r="X47" s="75"/>
      <c r="Y47" s="75"/>
      <c r="Z47" s="75"/>
      <c r="AA47" s="75"/>
      <c r="AB47" s="75"/>
      <c r="AC47" s="85"/>
      <c r="AD47" s="29"/>
      <c r="AE47" s="31"/>
      <c r="AF47" s="44"/>
      <c r="AG47" s="44"/>
      <c r="AH47" s="44"/>
    </row>
    <row r="48" spans="2:34" ht="16.350000000000001" customHeight="1">
      <c r="B48" s="36"/>
      <c r="E48" s="65"/>
      <c r="F48" s="144"/>
      <c r="G48" s="144"/>
      <c r="H48" s="144"/>
      <c r="I48" s="144"/>
      <c r="J48" s="145"/>
      <c r="K48" s="65"/>
      <c r="L48" s="148"/>
      <c r="M48" s="148"/>
      <c r="N48" s="148"/>
      <c r="O48" s="148"/>
      <c r="P48" s="148"/>
      <c r="Q48" s="148"/>
      <c r="R48" s="148"/>
      <c r="S48" s="149"/>
      <c r="T48" s="45"/>
      <c r="U48" s="26"/>
      <c r="V48" s="26"/>
      <c r="W48" s="75"/>
      <c r="X48" s="75"/>
      <c r="Y48" s="75"/>
      <c r="Z48" s="75"/>
      <c r="AA48" s="75"/>
      <c r="AB48" s="75"/>
      <c r="AC48" s="81"/>
      <c r="AD48" s="28"/>
      <c r="AE48" s="44"/>
      <c r="AF48" s="44"/>
      <c r="AG48" s="44"/>
      <c r="AH48" s="44"/>
    </row>
    <row r="49" spans="2:34" ht="6.6" customHeight="1">
      <c r="B49" s="36"/>
      <c r="E49" s="63"/>
      <c r="J49" s="62"/>
      <c r="K49" s="63"/>
      <c r="S49" s="72"/>
      <c r="T49" s="43"/>
      <c r="U49" s="26"/>
      <c r="V49" s="26"/>
      <c r="W49" s="79"/>
      <c r="X49" s="80"/>
      <c r="Y49" s="80"/>
      <c r="Z49" s="75"/>
      <c r="AA49" s="81"/>
      <c r="AB49" s="75"/>
      <c r="AC49" s="81"/>
      <c r="AD49" s="28"/>
      <c r="AE49" s="42"/>
      <c r="AF49" s="42"/>
      <c r="AG49" s="42"/>
      <c r="AH49" s="42"/>
    </row>
    <row r="50" spans="2:34" ht="19.350000000000001" customHeight="1">
      <c r="B50" s="36"/>
      <c r="E50" s="63"/>
      <c r="F50" s="150">
        <f>0.35*VLOOKUP($E$3, DATAREF_50121!A:I, 7, FALSE)</f>
        <v>0</v>
      </c>
      <c r="G50" s="151"/>
      <c r="I50" s="30" t="s">
        <v>25</v>
      </c>
      <c r="J50" s="62"/>
      <c r="K50" s="63"/>
      <c r="L50" s="111">
        <f>0.5*VLOOKUP($E$3, DATAREF_50121!A:I, 7, FALSE)</f>
        <v>0</v>
      </c>
      <c r="M50" s="32" t="s">
        <v>24</v>
      </c>
      <c r="N50" s="111">
        <f>0.6*VLOOKUP($E$3, DATAREF_50121!A:I, 7, FALSE)</f>
        <v>0</v>
      </c>
      <c r="O50" s="70"/>
      <c r="P50" s="31" t="s">
        <v>34</v>
      </c>
      <c r="S50" s="62"/>
      <c r="T50" s="38"/>
      <c r="U50" s="26"/>
      <c r="V50" s="26"/>
      <c r="W50" s="79"/>
      <c r="X50" s="75"/>
      <c r="Y50" s="75"/>
      <c r="Z50" s="75"/>
      <c r="AA50" s="75"/>
      <c r="AB50" s="75"/>
      <c r="AC50" s="85"/>
      <c r="AD50" s="29"/>
      <c r="AE50" s="52"/>
    </row>
    <row r="51" spans="2:34" ht="14.45" customHeight="1">
      <c r="B51" s="36"/>
      <c r="E51" s="63"/>
      <c r="J51" s="62"/>
      <c r="K51" s="63"/>
      <c r="S51" s="62"/>
      <c r="T51" s="38"/>
      <c r="U51" s="26"/>
      <c r="V51" s="26"/>
      <c r="W51" s="79"/>
      <c r="X51" s="80"/>
      <c r="Y51" s="75"/>
      <c r="Z51" s="82"/>
      <c r="AA51" s="75"/>
      <c r="AB51" s="78"/>
      <c r="AC51" s="81"/>
      <c r="AD51" s="28"/>
    </row>
    <row r="52" spans="2:34" ht="19.350000000000001" customHeight="1">
      <c r="B52" s="36"/>
      <c r="E52" s="63"/>
      <c r="F52" s="150">
        <f>0.05*VLOOKUP($E$3, DATAREF_50121!A:I, 8, FALSE)</f>
        <v>0</v>
      </c>
      <c r="G52" s="151"/>
      <c r="I52" s="30" t="s">
        <v>35</v>
      </c>
      <c r="J52" s="62"/>
      <c r="K52" s="63"/>
      <c r="M52" s="24"/>
      <c r="N52" s="111">
        <f>0.25*VLOOKUP($E$3, DATAREF_50121!A:I, 8, FALSE)</f>
        <v>0</v>
      </c>
      <c r="O52" s="70"/>
      <c r="P52" s="30" t="s">
        <v>35</v>
      </c>
      <c r="S52" s="62"/>
      <c r="T52" s="38"/>
      <c r="U52" s="26"/>
      <c r="V52" s="26"/>
      <c r="W52" s="83"/>
      <c r="X52" s="75"/>
      <c r="Y52" s="84"/>
      <c r="Z52" s="75"/>
      <c r="AA52" s="75"/>
      <c r="AB52" s="75"/>
      <c r="AC52" s="75"/>
      <c r="AD52" s="28"/>
    </row>
    <row r="53" spans="2:34" ht="16.7" customHeight="1">
      <c r="B53" s="36"/>
      <c r="E53" s="65"/>
      <c r="F53" s="66"/>
      <c r="G53" s="66"/>
      <c r="H53" s="66"/>
      <c r="I53" s="66"/>
      <c r="J53" s="67"/>
      <c r="K53" s="65"/>
      <c r="L53" s="66"/>
      <c r="M53" s="66"/>
      <c r="N53" s="66"/>
      <c r="O53" s="66"/>
      <c r="P53" s="66"/>
      <c r="Q53" s="66"/>
      <c r="R53" s="66"/>
      <c r="S53" s="67"/>
      <c r="T53" s="38"/>
      <c r="U53" s="26"/>
      <c r="V53" s="26"/>
      <c r="W53" s="75"/>
      <c r="X53" s="75"/>
      <c r="Y53" s="75"/>
      <c r="Z53" s="75"/>
      <c r="AA53" s="75"/>
      <c r="AB53" s="75"/>
      <c r="AC53" s="86"/>
      <c r="AD53" s="28"/>
      <c r="AE53" s="31"/>
      <c r="AF53" s="31"/>
      <c r="AG53" s="31"/>
    </row>
    <row r="54" spans="2:34" ht="14.45" customHeight="1">
      <c r="B54" s="36"/>
      <c r="R54" s="50"/>
      <c r="S54" s="50" t="s">
        <v>26</v>
      </c>
      <c r="T54" s="38"/>
      <c r="U54" s="26"/>
      <c r="V54" s="26"/>
      <c r="W54" s="75"/>
      <c r="X54" s="75"/>
      <c r="Y54" s="75"/>
      <c r="Z54" s="75"/>
      <c r="AA54" s="75"/>
      <c r="AB54" s="75"/>
      <c r="AC54" s="82"/>
      <c r="AE54" s="31"/>
      <c r="AF54" s="31"/>
      <c r="AG54" s="31"/>
    </row>
    <row r="55" spans="2:34" ht="15" customHeight="1">
      <c r="B55" s="36"/>
      <c r="E55" s="24" t="s">
        <v>36</v>
      </c>
      <c r="T55" s="38"/>
      <c r="W55" s="75"/>
      <c r="X55" s="75"/>
      <c r="Y55" s="75"/>
      <c r="Z55" s="75"/>
      <c r="AA55" s="75"/>
      <c r="AB55" s="75"/>
      <c r="AC55" s="75"/>
      <c r="AD55" s="28"/>
    </row>
    <row r="56" spans="2:34" ht="18" customHeight="1">
      <c r="B56" s="36"/>
      <c r="E56" s="24" t="s">
        <v>37</v>
      </c>
      <c r="T56" s="38"/>
      <c r="U56" s="26"/>
      <c r="V56" s="26"/>
      <c r="W56" s="75"/>
      <c r="X56" s="75"/>
      <c r="Y56" s="75"/>
      <c r="Z56" s="75"/>
      <c r="AA56" s="75"/>
      <c r="AB56" s="75"/>
      <c r="AC56" s="86"/>
      <c r="AD56" s="28"/>
      <c r="AE56" s="51"/>
      <c r="AF56" s="31"/>
      <c r="AG56" s="31"/>
    </row>
    <row r="57" spans="2:34">
      <c r="B57" s="39"/>
      <c r="C57" s="40"/>
      <c r="D57" s="40"/>
      <c r="E57" s="40"/>
      <c r="F57" s="40"/>
      <c r="G57" s="40"/>
      <c r="H57" s="40"/>
      <c r="I57" s="40"/>
      <c r="J57" s="40"/>
      <c r="K57" s="40"/>
      <c r="L57" s="40"/>
      <c r="M57" s="40"/>
      <c r="N57" s="40"/>
      <c r="O57" s="40"/>
      <c r="P57" s="40"/>
      <c r="Q57" s="40"/>
      <c r="R57" s="40"/>
      <c r="S57" s="40"/>
      <c r="T57" s="41"/>
      <c r="W57" s="75"/>
      <c r="X57" s="75"/>
      <c r="Y57" s="75"/>
      <c r="Z57" s="75"/>
      <c r="AA57" s="75"/>
      <c r="AB57" s="75"/>
      <c r="AC57" s="75"/>
    </row>
    <row r="58" spans="2:34">
      <c r="W58" s="75"/>
      <c r="X58" s="75"/>
      <c r="Y58" s="75"/>
      <c r="Z58" s="75"/>
      <c r="AA58" s="75"/>
      <c r="AB58" s="75"/>
      <c r="AC58" s="75"/>
    </row>
    <row r="59" spans="2:34">
      <c r="B59" s="35"/>
      <c r="C59" s="33"/>
      <c r="D59" s="33"/>
      <c r="E59" s="33"/>
      <c r="F59" s="33"/>
      <c r="G59" s="33"/>
      <c r="H59" s="33"/>
      <c r="I59" s="33"/>
      <c r="J59" s="33"/>
      <c r="K59" s="33"/>
      <c r="L59" s="34"/>
      <c r="M59" s="34"/>
      <c r="N59" s="33"/>
      <c r="O59" s="33"/>
      <c r="P59" s="33"/>
      <c r="Q59" s="33"/>
      <c r="R59" s="33"/>
      <c r="S59" s="33"/>
      <c r="T59" s="37"/>
      <c r="W59" s="75"/>
      <c r="X59" s="75"/>
      <c r="Y59" s="75"/>
      <c r="Z59" s="75"/>
      <c r="AA59" s="75"/>
      <c r="AB59" s="75"/>
      <c r="AC59" s="75"/>
    </row>
    <row r="60" spans="2:34">
      <c r="B60" s="36"/>
      <c r="L60" s="28"/>
      <c r="M60" s="28"/>
      <c r="T60" s="38"/>
      <c r="W60" s="75"/>
      <c r="X60" s="75"/>
      <c r="Y60" s="75"/>
      <c r="Z60" s="75"/>
      <c r="AA60" s="75"/>
      <c r="AB60" s="75"/>
      <c r="AC60" s="75"/>
    </row>
    <row r="61" spans="2:34" ht="18.600000000000001">
      <c r="B61" s="36"/>
      <c r="F61" s="24"/>
      <c r="J61" s="22" t="s">
        <v>38</v>
      </c>
      <c r="L61" s="112">
        <f>0.25*TotalFunds50121</f>
        <v>0</v>
      </c>
      <c r="M61" s="29"/>
      <c r="N61" s="93" t="s">
        <v>20</v>
      </c>
      <c r="T61" s="38"/>
      <c r="W61" s="75"/>
      <c r="X61" s="75"/>
      <c r="Y61" s="75"/>
      <c r="Z61" s="75"/>
      <c r="AA61" s="75"/>
      <c r="AB61" s="75"/>
      <c r="AC61" s="75"/>
    </row>
    <row r="62" spans="2:34" ht="6.6" customHeight="1">
      <c r="B62" s="36"/>
      <c r="L62" s="28"/>
      <c r="M62" s="28"/>
      <c r="T62" s="38"/>
      <c r="W62" s="75"/>
      <c r="X62" s="75"/>
      <c r="Y62" s="75"/>
      <c r="Z62" s="75"/>
      <c r="AA62" s="75"/>
      <c r="AB62" s="75"/>
      <c r="AC62" s="75"/>
    </row>
    <row r="63" spans="2:34" ht="15.6" customHeight="1">
      <c r="B63" s="36"/>
      <c r="J63" s="54" t="s">
        <v>31</v>
      </c>
      <c r="L63" s="113">
        <f>0.8*TotalFunds50121</f>
        <v>0</v>
      </c>
      <c r="M63" s="28"/>
      <c r="T63" s="38"/>
      <c r="W63" s="25"/>
      <c r="X63" s="26"/>
      <c r="Y63" s="26"/>
      <c r="AA63" s="28"/>
    </row>
    <row r="64" spans="2:34" ht="9" customHeight="1">
      <c r="B64" s="36"/>
      <c r="E64" s="26"/>
      <c r="F64" s="26"/>
      <c r="G64" s="26"/>
      <c r="H64" s="26"/>
      <c r="I64" s="26"/>
      <c r="J64" s="26"/>
      <c r="K64" s="26"/>
      <c r="L64" s="28"/>
      <c r="M64" s="28"/>
      <c r="T64" s="38"/>
      <c r="W64" s="25"/>
    </row>
    <row r="65" spans="2:28" ht="10.7" customHeight="1">
      <c r="B65" s="36"/>
      <c r="E65" s="26"/>
      <c r="F65" s="26"/>
      <c r="G65" s="26"/>
      <c r="H65" s="26"/>
      <c r="I65" s="26"/>
      <c r="J65" s="26"/>
      <c r="K65" s="26"/>
      <c r="L65" s="28"/>
      <c r="M65" s="28"/>
      <c r="P65" s="44"/>
      <c r="Q65" s="44"/>
      <c r="R65" s="44"/>
      <c r="S65" s="44"/>
      <c r="T65" s="45"/>
      <c r="W65" s="25"/>
      <c r="X65" s="26"/>
      <c r="Z65" s="105"/>
      <c r="AB65" s="31"/>
    </row>
    <row r="66" spans="2:28" ht="20.45" customHeight="1">
      <c r="B66" s="36"/>
      <c r="E66" s="71"/>
      <c r="F66" s="142" t="s">
        <v>32</v>
      </c>
      <c r="G66" s="142"/>
      <c r="H66" s="142"/>
      <c r="I66" s="142"/>
      <c r="J66" s="143"/>
      <c r="K66" s="71"/>
      <c r="L66" s="146" t="s">
        <v>33</v>
      </c>
      <c r="M66" s="146"/>
      <c r="N66" s="146"/>
      <c r="O66" s="146"/>
      <c r="P66" s="146"/>
      <c r="Q66" s="146"/>
      <c r="R66" s="146"/>
      <c r="S66" s="147"/>
      <c r="T66" s="45"/>
      <c r="W66" s="106"/>
      <c r="Y66" s="107"/>
    </row>
    <row r="67" spans="2:28" ht="16.350000000000001" customHeight="1">
      <c r="B67" s="36"/>
      <c r="E67" s="65"/>
      <c r="F67" s="144"/>
      <c r="G67" s="144"/>
      <c r="H67" s="144"/>
      <c r="I67" s="144"/>
      <c r="J67" s="145"/>
      <c r="K67" s="65"/>
      <c r="L67" s="148"/>
      <c r="M67" s="148"/>
      <c r="N67" s="148"/>
      <c r="O67" s="148"/>
      <c r="P67" s="148"/>
      <c r="Q67" s="148"/>
      <c r="R67" s="148"/>
      <c r="S67" s="149"/>
      <c r="T67" s="45"/>
    </row>
    <row r="68" spans="2:28" ht="6.6" customHeight="1">
      <c r="B68" s="36"/>
      <c r="E68" s="63"/>
      <c r="J68" s="62"/>
      <c r="K68" s="63"/>
      <c r="S68" s="72"/>
      <c r="T68" s="43"/>
      <c r="W68" s="26"/>
      <c r="X68" s="26"/>
      <c r="Y68" s="26"/>
      <c r="Z68" s="26"/>
      <c r="AA68" s="26"/>
      <c r="AB68" s="26"/>
    </row>
    <row r="69" spans="2:28" ht="16.350000000000001" customHeight="1">
      <c r="B69" s="36"/>
      <c r="E69" s="63"/>
      <c r="F69" s="150">
        <f>0.6*VLOOKUP($E$3, DATAREF_50121!A:I, 7, FALSE)</f>
        <v>0</v>
      </c>
      <c r="G69" s="151"/>
      <c r="I69" s="30" t="s">
        <v>25</v>
      </c>
      <c r="J69" s="62"/>
      <c r="K69" s="63"/>
      <c r="L69" s="111">
        <f>0.8*VLOOKUP($E$3, DATAREF_50121!A:I, 7, FALSE)</f>
        <v>0</v>
      </c>
      <c r="M69" s="70"/>
      <c r="N69" s="31" t="s">
        <v>34</v>
      </c>
      <c r="S69" s="62"/>
      <c r="T69" s="38"/>
      <c r="W69" s="26"/>
      <c r="X69" s="26"/>
      <c r="Y69" s="26"/>
      <c r="Z69" s="53"/>
      <c r="AA69" s="108"/>
      <c r="AB69" s="108"/>
    </row>
    <row r="70" spans="2:28" ht="14.45" customHeight="1">
      <c r="B70" s="36"/>
      <c r="E70" s="63"/>
      <c r="J70" s="62"/>
      <c r="K70" s="63"/>
      <c r="S70" s="62"/>
      <c r="T70" s="38"/>
    </row>
    <row r="71" spans="2:28" ht="17.45" customHeight="1">
      <c r="B71" s="36"/>
      <c r="E71" s="63"/>
      <c r="F71" s="150">
        <f>0.25*VLOOKUP($E$3, DATAREF_50121!A:I, 8, FALSE)</f>
        <v>0</v>
      </c>
      <c r="G71" s="151"/>
      <c r="I71" s="30" t="s">
        <v>35</v>
      </c>
      <c r="J71" s="62"/>
      <c r="L71" s="111">
        <f>0.7*VLOOKUP($E$3, DATAREF_50121!A:I, 8, FALSE)</f>
        <v>0</v>
      </c>
      <c r="M71" s="70"/>
      <c r="N71" s="30" t="s">
        <v>35</v>
      </c>
      <c r="S71" s="62"/>
      <c r="T71" s="38"/>
    </row>
    <row r="72" spans="2:28" ht="16.7" customHeight="1">
      <c r="B72" s="36"/>
      <c r="E72" s="65"/>
      <c r="F72" s="66"/>
      <c r="G72" s="66"/>
      <c r="H72" s="66"/>
      <c r="I72" s="66"/>
      <c r="J72" s="67"/>
      <c r="K72" s="65"/>
      <c r="L72" s="66"/>
      <c r="M72" s="66"/>
      <c r="N72" s="66"/>
      <c r="O72" s="66"/>
      <c r="P72" s="66"/>
      <c r="Q72" s="66"/>
      <c r="R72" s="66"/>
      <c r="S72" s="67"/>
      <c r="T72" s="38"/>
    </row>
    <row r="73" spans="2:28" ht="14.45" customHeight="1">
      <c r="B73" s="36"/>
      <c r="E73" s="26"/>
      <c r="F73" s="26"/>
      <c r="G73" s="26"/>
      <c r="H73" s="25"/>
      <c r="I73" s="26"/>
      <c r="N73" s="31"/>
      <c r="O73" s="31"/>
      <c r="P73" s="31"/>
      <c r="Q73" s="31"/>
      <c r="S73" s="50" t="s">
        <v>26</v>
      </c>
      <c r="T73" s="38"/>
    </row>
    <row r="74" spans="2:28" ht="17.45" customHeight="1">
      <c r="B74" s="36"/>
      <c r="E74" s="24" t="s">
        <v>39</v>
      </c>
      <c r="F74" s="26"/>
      <c r="G74" s="26"/>
      <c r="H74" s="26"/>
      <c r="I74" s="26"/>
      <c r="J74" s="26"/>
      <c r="K74" s="26"/>
      <c r="M74" s="28"/>
      <c r="T74" s="38"/>
    </row>
    <row r="75" spans="2:28" ht="18" customHeight="1">
      <c r="B75" s="36"/>
      <c r="E75" s="31" t="s">
        <v>40</v>
      </c>
      <c r="F75" s="26"/>
      <c r="G75" s="26"/>
      <c r="H75" s="24"/>
      <c r="I75" s="46"/>
      <c r="M75" s="28"/>
      <c r="N75" s="51"/>
      <c r="O75" s="51"/>
      <c r="P75" s="31"/>
      <c r="Q75" s="31"/>
      <c r="T75" s="38"/>
    </row>
    <row r="76" spans="2:28">
      <c r="B76" s="39"/>
      <c r="C76" s="40"/>
      <c r="D76" s="40"/>
      <c r="E76" s="40"/>
      <c r="F76" s="40"/>
      <c r="G76" s="40"/>
      <c r="H76" s="40"/>
      <c r="I76" s="40"/>
      <c r="J76" s="40"/>
      <c r="K76" s="40"/>
      <c r="L76" s="40"/>
      <c r="M76" s="40"/>
      <c r="N76" s="40"/>
      <c r="O76" s="40"/>
      <c r="P76" s="40"/>
      <c r="Q76" s="40"/>
      <c r="R76" s="40"/>
      <c r="S76" s="40"/>
      <c r="T76" s="41"/>
    </row>
    <row r="78" spans="2:28">
      <c r="B78" s="35"/>
      <c r="C78" s="33"/>
      <c r="D78" s="33"/>
      <c r="E78" s="33"/>
      <c r="F78" s="33"/>
      <c r="G78" s="33"/>
      <c r="H78" s="33"/>
      <c r="I78" s="33"/>
      <c r="J78" s="33"/>
      <c r="K78" s="33"/>
      <c r="L78" s="33"/>
      <c r="M78" s="33"/>
      <c r="N78" s="33"/>
      <c r="O78" s="33"/>
      <c r="P78" s="33"/>
      <c r="Q78" s="33"/>
      <c r="R78" s="33"/>
      <c r="S78" s="33"/>
      <c r="T78" s="37"/>
    </row>
    <row r="79" spans="2:28" ht="18.600000000000001">
      <c r="B79" s="36"/>
      <c r="T79" s="38"/>
      <c r="W79" s="29"/>
    </row>
    <row r="80" spans="2:28" ht="18.600000000000001">
      <c r="B80" s="36"/>
      <c r="J80" s="22" t="s">
        <v>41</v>
      </c>
      <c r="L80" s="112">
        <f>0.2*TotalFunds50121</f>
        <v>0</v>
      </c>
      <c r="N80" s="31" t="s">
        <v>42</v>
      </c>
      <c r="O80" s="31"/>
      <c r="T80" s="38"/>
      <c r="W80" s="28"/>
    </row>
    <row r="81" spans="2:25" ht="6" customHeight="1">
      <c r="B81" s="36"/>
      <c r="J81" s="22"/>
      <c r="L81" s="90"/>
      <c r="N81" s="31"/>
      <c r="O81" s="31"/>
      <c r="T81" s="38"/>
      <c r="W81" s="106"/>
      <c r="Y81" s="107"/>
    </row>
    <row r="82" spans="2:25">
      <c r="B82" s="36"/>
      <c r="J82" s="54" t="s">
        <v>31</v>
      </c>
      <c r="L82" s="113">
        <f>TotalFunds50121</f>
        <v>0</v>
      </c>
      <c r="T82" s="38"/>
    </row>
    <row r="83" spans="2:25">
      <c r="B83" s="36"/>
      <c r="T83" s="38"/>
    </row>
    <row r="84" spans="2:25">
      <c r="B84" s="36"/>
      <c r="T84" s="38"/>
    </row>
    <row r="85" spans="2:25" ht="18.600000000000001">
      <c r="B85" s="36"/>
      <c r="J85" s="47" t="s">
        <v>43</v>
      </c>
      <c r="L85" s="112">
        <f>VLOOKUP($E$3, DATAREF_50121!A:I, 3, FALSE)</f>
        <v>0</v>
      </c>
      <c r="N85" s="93" t="s">
        <v>44</v>
      </c>
      <c r="T85" s="38"/>
    </row>
    <row r="86" spans="2:25" ht="17.45">
      <c r="B86" s="36"/>
      <c r="J86" s="48"/>
      <c r="T86" s="38"/>
    </row>
    <row r="87" spans="2:25" ht="18.600000000000001">
      <c r="B87" s="36"/>
      <c r="J87" s="47" t="s">
        <v>45</v>
      </c>
      <c r="L87" s="112">
        <f>VLOOKUP($E$3, DATAREF_50121!A:I, 7, FALSE)</f>
        <v>0</v>
      </c>
      <c r="N87" s="93" t="s">
        <v>46</v>
      </c>
      <c r="T87" s="38"/>
    </row>
    <row r="88" spans="2:25" ht="17.45">
      <c r="B88" s="36"/>
      <c r="J88" s="48"/>
      <c r="T88" s="38"/>
    </row>
    <row r="89" spans="2:25" ht="18.600000000000001">
      <c r="B89" s="36"/>
      <c r="J89" s="47" t="s">
        <v>47</v>
      </c>
      <c r="L89" s="112">
        <f>VLOOKUP($E$3, DATAREF_50121!A:I, 8, FALSE)</f>
        <v>0</v>
      </c>
      <c r="N89" s="93" t="s">
        <v>48</v>
      </c>
      <c r="T89" s="38"/>
    </row>
    <row r="90" spans="2:25">
      <c r="B90" s="36"/>
      <c r="T90" s="38"/>
    </row>
    <row r="91" spans="2:25" ht="18.600000000000001">
      <c r="B91" s="36"/>
      <c r="E91" s="24" t="s">
        <v>49</v>
      </c>
      <c r="T91" s="38"/>
    </row>
    <row r="92" spans="2:25" ht="18.600000000000001">
      <c r="B92" s="36"/>
      <c r="E92" s="24" t="s">
        <v>50</v>
      </c>
      <c r="T92" s="38"/>
    </row>
    <row r="93" spans="2:25">
      <c r="B93" s="36"/>
      <c r="T93" s="38"/>
    </row>
    <row r="94" spans="2:25">
      <c r="B94" s="39"/>
      <c r="C94" s="40"/>
      <c r="D94" s="40"/>
      <c r="E94" s="40"/>
      <c r="F94" s="40"/>
      <c r="G94" s="40"/>
      <c r="H94" s="40"/>
      <c r="I94" s="40"/>
      <c r="J94" s="40"/>
      <c r="K94" s="40"/>
      <c r="L94" s="40"/>
      <c r="M94" s="40"/>
      <c r="N94" s="40"/>
      <c r="O94" s="40"/>
      <c r="P94" s="40"/>
      <c r="Q94" s="40"/>
      <c r="R94" s="40"/>
      <c r="S94" s="40"/>
      <c r="T94" s="41"/>
    </row>
    <row r="97" spans="2:12">
      <c r="B97" s="50" t="s">
        <v>51</v>
      </c>
    </row>
    <row r="98" spans="2:12">
      <c r="B98" s="92" t="s">
        <v>52</v>
      </c>
      <c r="J98" s="89"/>
    </row>
    <row r="99" spans="2:12">
      <c r="B99" s="92" t="s">
        <v>53</v>
      </c>
      <c r="J99" s="89"/>
    </row>
    <row r="100" spans="2:12">
      <c r="B100" s="92" t="s">
        <v>54</v>
      </c>
      <c r="J100" s="91"/>
    </row>
    <row r="101" spans="2:12">
      <c r="I101" s="53"/>
      <c r="J101" s="53"/>
    </row>
    <row r="104" spans="2:12" ht="17.45">
      <c r="F104" s="100"/>
      <c r="G104" s="100"/>
      <c r="H104" s="100"/>
      <c r="I104" s="100"/>
      <c r="J104" s="100"/>
      <c r="K104" s="100"/>
      <c r="L104" s="100"/>
    </row>
    <row r="105" spans="2:12" ht="17.45">
      <c r="F105" s="100"/>
      <c r="G105" s="100"/>
      <c r="H105" s="100"/>
      <c r="I105" s="100"/>
      <c r="J105" s="100"/>
      <c r="K105" s="100"/>
      <c r="L105" s="100"/>
    </row>
    <row r="106" spans="2:12" ht="17.45">
      <c r="F106" s="100"/>
      <c r="G106" s="100"/>
      <c r="H106" s="100"/>
      <c r="I106" s="100"/>
      <c r="J106" s="100"/>
      <c r="K106" s="100"/>
      <c r="L106" s="100"/>
    </row>
    <row r="107" spans="2:12" ht="17.45">
      <c r="F107" s="100"/>
      <c r="G107" s="100"/>
      <c r="H107" s="100"/>
      <c r="I107" s="100"/>
      <c r="J107" s="100"/>
      <c r="K107" s="100"/>
      <c r="L107" s="100"/>
    </row>
    <row r="108" spans="2:12" ht="17.45">
      <c r="F108" s="100"/>
      <c r="G108" s="100"/>
      <c r="H108" s="100"/>
      <c r="I108" s="100"/>
      <c r="J108" s="100"/>
      <c r="K108" s="100"/>
      <c r="L108" s="100"/>
    </row>
    <row r="109" spans="2:12" ht="17.45">
      <c r="F109" s="100"/>
      <c r="G109" s="100"/>
      <c r="H109" s="100"/>
      <c r="I109" s="100"/>
      <c r="J109" s="100"/>
      <c r="K109" s="100"/>
      <c r="L109" s="100"/>
    </row>
    <row r="110" spans="2:12" ht="17.45">
      <c r="F110" s="100"/>
      <c r="G110" s="100"/>
      <c r="H110" s="100"/>
      <c r="I110" s="100"/>
      <c r="J110" s="100"/>
      <c r="K110" s="100"/>
      <c r="L110" s="100"/>
    </row>
  </sheetData>
  <mergeCells count="13">
    <mergeCell ref="F66:J67"/>
    <mergeCell ref="L66:S67"/>
    <mergeCell ref="F69:G69"/>
    <mergeCell ref="F71:G71"/>
    <mergeCell ref="I2:T4"/>
    <mergeCell ref="F33:G33"/>
    <mergeCell ref="F30:J31"/>
    <mergeCell ref="F47:J48"/>
    <mergeCell ref="F50:G50"/>
    <mergeCell ref="F52:G52"/>
    <mergeCell ref="L31:R31"/>
    <mergeCell ref="L47:S48"/>
    <mergeCell ref="F12:N12"/>
  </mergeCells>
  <conditionalFormatting sqref="I6:L10">
    <cfRule type="expression" dxfId="43" priority="18">
      <formula>INDIRECT("StartHere!M13")="No"</formula>
    </cfRule>
  </conditionalFormatting>
  <conditionalFormatting sqref="AB7:AB10">
    <cfRule type="dataBar" priority="12">
      <dataBar>
        <cfvo type="num" val="0"/>
        <cfvo type="num" val="1"/>
        <color rgb="FF638EC6"/>
      </dataBar>
      <extLst>
        <ext xmlns:x14="http://schemas.microsoft.com/office/spreadsheetml/2009/9/main" uri="{B025F937-C7B1-47D3-B67F-A62EFF666E3E}">
          <x14:id>{E410545F-C08E-4AD8-8ABC-F01C5D981DD4}</x14:id>
        </ext>
      </extLst>
    </cfRule>
  </conditionalFormatting>
  <hyperlinks>
    <hyperlink ref="B98" r:id="rId1" display="(1) Program requirements, application instructions, and total fund allocation information" xr:uid="{19B696DE-9317-4A6D-9285-2CB001FA79F4}"/>
    <hyperlink ref="B99" r:id="rId2" display="(2) Tranche funding requirements (descriptions of tranche-specific milestones and deliverables are described in (1))" xr:uid="{B9BD5A0E-4EBD-40CD-8461-0E8AFEE60672}"/>
    <hyperlink ref="B100" r:id="rId3" display="(3) Early administration funding information" xr:uid="{47F6DC07-1F53-42FC-8F48-43A51AB9273E}"/>
  </hyperlinks>
  <pageMargins left="0.7" right="0.7" top="0.75" bottom="0.75" header="0.3" footer="0.3"/>
  <drawing r:id="rId4"/>
  <extLst>
    <ext xmlns:x14="http://schemas.microsoft.com/office/spreadsheetml/2009/9/main" uri="{78C0D931-6437-407d-A8EE-F0AAD7539E65}">
      <x14:conditionalFormattings>
        <x14:conditionalFormatting xmlns:xm="http://schemas.microsoft.com/office/excel/2006/main">
          <x14:cfRule type="dataBar" id="{E410545F-C08E-4AD8-8ABC-F01C5D981DD4}">
            <x14:dataBar minLength="0" maxLength="100" gradient="0">
              <x14:cfvo type="num">
                <xm:f>0</xm:f>
              </x14:cfvo>
              <x14:cfvo type="num">
                <xm:f>1</xm:f>
              </x14:cfvo>
              <x14:negativeFillColor rgb="FFFF0000"/>
              <x14:axisColor rgb="FF000000"/>
            </x14:dataBar>
          </x14:cfRule>
          <xm:sqref>AB7:AB10</xm:sqref>
        </x14:conditionalFormatting>
        <x14:conditionalFormatting xmlns:xm="http://schemas.microsoft.com/office/excel/2006/main">
          <x14:cfRule type="expression" priority="10" id="{6D743966-FAC8-443F-8DB5-B91308AED40F}">
            <xm:f>StartHere!N13 = "No"</xm:f>
            <x14:dxf>
              <font>
                <color theme="0"/>
              </font>
              <fill>
                <patternFill>
                  <bgColor theme="0"/>
                </patternFill>
              </fill>
            </x14:dxf>
          </x14:cfRule>
          <xm:sqref>F15</xm:sqref>
        </x14:conditionalFormatting>
        <x14:conditionalFormatting xmlns:xm="http://schemas.microsoft.com/office/excel/2006/main">
          <x14:cfRule type="expression" priority="6" id="{ABC24818-57B7-4359-8948-598BB080920E}">
            <xm:f>StartHere!N13 = "Yes"</xm:f>
            <x14:dxf>
              <font>
                <color theme="0"/>
              </font>
            </x14:dxf>
          </x14:cfRule>
          <xm:sqref>F16</xm:sqref>
        </x14:conditionalFormatting>
        <x14:conditionalFormatting xmlns:xm="http://schemas.microsoft.com/office/excel/2006/main">
          <x14:cfRule type="expression" priority="9" id="{143BB2E0-1F12-4DFA-9A62-1DE2990C5CB6}">
            <xm:f>StartHere!N13 = "No"</xm:f>
            <x14:dxf>
              <font>
                <color theme="0"/>
              </font>
            </x14:dxf>
          </x14:cfRule>
          <xm:sqref>F17</xm:sqref>
        </x14:conditionalFormatting>
        <x14:conditionalFormatting xmlns:xm="http://schemas.microsoft.com/office/excel/2006/main">
          <x14:cfRule type="expression" priority="2" id="{D8A96E91-DA82-48EB-8490-775015C64562}">
            <xm:f>StartHere!N8 &lt;&gt; "Select State"</xm:f>
            <x14:dxf>
              <font>
                <color theme="0"/>
              </font>
            </x14:dxf>
          </x14:cfRule>
          <x14:cfRule type="expression" priority="3" id="{B96E8502-70E8-4AA6-834E-BE49C900B5E8}">
            <xm:f>StartHere!N8 &lt;&gt; "Select State"</xm:f>
            <x14:dxf>
              <fill>
                <patternFill>
                  <bgColor theme="0"/>
                </patternFill>
              </fill>
            </x14:dxf>
          </x14:cfRule>
          <xm:sqref>F12:N12</xm:sqref>
        </x14:conditionalFormatting>
        <x14:conditionalFormatting xmlns:xm="http://schemas.microsoft.com/office/excel/2006/main">
          <x14:cfRule type="expression" priority="1" id="{4B8801CC-AE74-4506-818B-22DE6827D924}">
            <xm:f>StartHere!N8 ="Select State"</xm:f>
            <x14:dxf>
              <font>
                <color theme="0"/>
              </font>
            </x14:dxf>
          </x14:cfRule>
          <xm:sqref>I2:T4</xm:sqref>
        </x14:conditionalFormatting>
        <x14:conditionalFormatting xmlns:xm="http://schemas.microsoft.com/office/excel/2006/main">
          <x14:cfRule type="expression" priority="5" id="{30122396-D989-40D5-B0EE-A2902C16BCE0}">
            <xm:f>StartHere!$N$13="No"</xm:f>
            <x14:dxf>
              <font>
                <color theme="0"/>
              </font>
            </x14:dxf>
          </x14:cfRule>
          <x14:cfRule type="expression" priority="7" id="{F691CC96-BCB8-4574-96FA-FA428556C6AF}">
            <xm:f>StartHere!N13 = "No"</xm:f>
            <x14:dxf>
              <fill>
                <patternFill>
                  <bgColor theme="0"/>
                </patternFill>
              </fill>
              <border>
                <left style="thin">
                  <color theme="0"/>
                </left>
                <right style="thin">
                  <color theme="0"/>
                </right>
                <top style="thin">
                  <color theme="0"/>
                </top>
                <bottom style="thin">
                  <color theme="0"/>
                </bottom>
                <vertical/>
                <horizontal/>
              </border>
            </x14:dxf>
          </x14:cfRule>
          <x14:cfRule type="expression" priority="8" id="{D17797FC-BF87-4A03-93F4-D4BBE7CA8233}">
            <xm:f>StartHere!N13 = "No"</xm:f>
            <x14:dxf>
              <fill>
                <patternFill>
                  <bgColor theme="0" tint="-4.9989318521683403E-2"/>
                </patternFill>
              </fill>
            </x14:dxf>
          </x14:cfRule>
          <xm:sqref>L17</xm:sqref>
        </x14:conditionalFormatting>
        <x14:conditionalFormatting xmlns:xm="http://schemas.microsoft.com/office/excel/2006/main">
          <x14:cfRule type="expression" priority="11" id="{147E2001-F410-4D40-A7FE-9CF478F8BFF9}">
            <xm:f>StartHere!N13 = "No"</xm:f>
            <x14:dxf>
              <font>
                <color theme="0" tint="-4.9989318521683403E-2"/>
              </font>
            </x14:dxf>
          </x14:cfRule>
          <xm:sqref>W11:W12</xm:sqref>
        </x14:conditionalFormatting>
        <x14:conditionalFormatting xmlns:xm="http://schemas.microsoft.com/office/excel/2006/main">
          <x14:cfRule type="expression" priority="40" id="{147E2001-F410-4D40-A7FE-9CF478F8BFF9}">
            <xm:f>StartHere!N14 = "No"</xm:f>
            <x14:dxf>
              <font>
                <color theme="0" tint="-4.9989318521683403E-2"/>
              </font>
            </x14:dxf>
          </x14:cfRule>
          <xm:sqref>W13</xm:sqref>
        </x14:conditionalFormatting>
        <x14:conditionalFormatting xmlns:xm="http://schemas.microsoft.com/office/excel/2006/main">
          <x14:cfRule type="expression" priority="38" id="{147E2001-F410-4D40-A7FE-9CF478F8BFF9}">
            <xm:f>StartHere!N14 = "No"</xm:f>
            <x14:dxf>
              <font>
                <color theme="0" tint="-4.9989318521683403E-2"/>
              </font>
            </x14:dxf>
          </x14:cfRule>
          <xm:sqref>W14</xm:sqref>
        </x14:conditionalFormatting>
        <x14:conditionalFormatting xmlns:xm="http://schemas.microsoft.com/office/excel/2006/main">
          <x14:cfRule type="expression" priority="36" id="{147E2001-F410-4D40-A7FE-9CF478F8BFF9}">
            <xm:f>StartHere!N14 = "No"</xm:f>
            <x14:dxf>
              <font>
                <color theme="0" tint="-4.9989318521683403E-2"/>
              </font>
            </x14:dxf>
          </x14:cfRule>
          <xm:sqref>W15</xm:sqref>
        </x14:conditionalFormatting>
        <x14:conditionalFormatting xmlns:xm="http://schemas.microsoft.com/office/excel/2006/main">
          <x14:cfRule type="expression" priority="34" id="{147E2001-F410-4D40-A7FE-9CF478F8BFF9}">
            <xm:f>StartHere!N14 = "No"</xm:f>
            <x14:dxf>
              <font>
                <color theme="0" tint="-4.9989318521683403E-2"/>
              </font>
            </x14:dxf>
          </x14:cfRule>
          <xm:sqref>W16</xm:sqref>
        </x14:conditionalFormatting>
        <x14:conditionalFormatting xmlns:xm="http://schemas.microsoft.com/office/excel/2006/main">
          <x14:cfRule type="expression" priority="32" id="{147E2001-F410-4D40-A7FE-9CF478F8BFF9}">
            <xm:f>StartHere!N14 = "No"</xm:f>
            <x14:dxf>
              <font>
                <color theme="0" tint="-4.9989318521683403E-2"/>
              </font>
            </x14:dxf>
          </x14:cfRule>
          <xm:sqref>W17</xm:sqref>
        </x14:conditionalFormatting>
        <x14:conditionalFormatting xmlns:xm="http://schemas.microsoft.com/office/excel/2006/main">
          <x14:cfRule type="expression" priority="30" id="{147E2001-F410-4D40-A7FE-9CF478F8BFF9}">
            <xm:f>StartHere!N14 = "No"</xm:f>
            <x14:dxf>
              <font>
                <color theme="0" tint="-4.9989318521683403E-2"/>
              </font>
            </x14:dxf>
          </x14:cfRule>
          <xm:sqref>W18</xm:sqref>
        </x14:conditionalFormatting>
        <x14:conditionalFormatting xmlns:xm="http://schemas.microsoft.com/office/excel/2006/main">
          <x14:cfRule type="expression" priority="28" id="{147E2001-F410-4D40-A7FE-9CF478F8BFF9}">
            <xm:f>StartHere!N14 = "No"</xm:f>
            <x14:dxf>
              <font>
                <color theme="0" tint="-4.9989318521683403E-2"/>
              </font>
            </x14:dxf>
          </x14:cfRule>
          <xm:sqref>W19</xm:sqref>
        </x14:conditionalFormatting>
        <x14:conditionalFormatting xmlns:xm="http://schemas.microsoft.com/office/excel/2006/main">
          <x14:cfRule type="expression" priority="26" id="{147E2001-F410-4D40-A7FE-9CF478F8BFF9}">
            <xm:f>StartHere!N14 = "No"</xm:f>
            <x14:dxf>
              <font>
                <color theme="0" tint="-4.9989318521683403E-2"/>
              </font>
            </x14:dxf>
          </x14:cfRule>
          <xm:sqref>W20</xm:sqref>
        </x14:conditionalFormatting>
        <x14:conditionalFormatting xmlns:xm="http://schemas.microsoft.com/office/excel/2006/main">
          <x14:cfRule type="expression" priority="24" id="{147E2001-F410-4D40-A7FE-9CF478F8BFF9}">
            <xm:f>StartHere!N14 = "No"</xm:f>
            <x14:dxf>
              <font>
                <color theme="0" tint="-4.9989318521683403E-2"/>
              </font>
            </x14:dxf>
          </x14:cfRule>
          <xm:sqref>W21</xm:sqref>
        </x14:conditionalFormatting>
        <x14:conditionalFormatting xmlns:xm="http://schemas.microsoft.com/office/excel/2006/main">
          <x14:cfRule type="expression" priority="22" id="{147E2001-F410-4D40-A7FE-9CF478F8BFF9}">
            <xm:f>StartHere!N14 = "No"</xm:f>
            <x14:dxf>
              <font>
                <color theme="0" tint="-4.9989318521683403E-2"/>
              </font>
            </x14:dxf>
          </x14:cfRule>
          <xm:sqref>W22:W23</xm:sqref>
        </x14:conditionalFormatting>
        <x14:conditionalFormatting xmlns:xm="http://schemas.microsoft.com/office/excel/2006/main">
          <x14:cfRule type="expression" priority="20" id="{147E2001-F410-4D40-A7FE-9CF478F8BFF9}">
            <xm:f>StartHere!N14 = "No"</xm:f>
            <x14:dxf>
              <font>
                <color theme="0" tint="-4.9989318521683403E-2"/>
              </font>
            </x14:dxf>
          </x14:cfRule>
          <xm:sqref>W24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E6FF-77D6-459A-BD67-4AB99DE223EB}">
  <sheetPr codeName="Sheet10"/>
  <dimension ref="B1:AH110"/>
  <sheetViews>
    <sheetView showGridLines="0" zoomScale="97" zoomScaleNormal="90" workbookViewId="0">
      <selection activeCell="B100" sqref="B99:B100"/>
    </sheetView>
  </sheetViews>
  <sheetFormatPr defaultRowHeight="14.45"/>
  <cols>
    <col min="5" max="5" width="3.85546875" customWidth="1"/>
    <col min="6" max="6" width="11.85546875" customWidth="1"/>
    <col min="7" max="7" width="16.85546875" bestFit="1" customWidth="1"/>
    <col min="8" max="8" width="3.42578125" customWidth="1"/>
    <col min="9" max="9" width="22.5703125" customWidth="1"/>
    <col min="10" max="10" width="21.85546875" customWidth="1"/>
    <col min="11" max="11" width="4.140625" customWidth="1"/>
    <col min="12" max="12" width="23.85546875" customWidth="1"/>
    <col min="13" max="13" width="4.140625" customWidth="1"/>
    <col min="14" max="14" width="20.140625" customWidth="1"/>
    <col min="15" max="15" width="1.5703125" customWidth="1"/>
    <col min="17" max="17" width="15.5703125" customWidth="1"/>
    <col min="21" max="21" width="17.5703125" customWidth="1"/>
    <col min="22" max="22" width="3.5703125" customWidth="1"/>
    <col min="23" max="23" width="14.85546875" customWidth="1"/>
    <col min="24" max="24" width="9.140625" customWidth="1"/>
    <col min="25" max="25" width="12.5703125" customWidth="1"/>
    <col min="26" max="26" width="21.5703125" customWidth="1"/>
    <col min="28" max="28" width="20.140625" customWidth="1"/>
  </cols>
  <sheetData>
    <row r="1" spans="2:29" ht="16.7" customHeight="1"/>
    <row r="2" spans="2:29" ht="21">
      <c r="G2" s="94" t="s">
        <v>55</v>
      </c>
      <c r="I2" s="152" t="str">
        <f>StartHere!N8 &amp; " will receive total program allocations of up to " &amp; TEXT(ROUND(VLOOKUP($E$3, DATAREF_50122!A:I, 2, FALSE), 0), "$#,##0") &amp; "." &amp; CHAR(10) &amp; StartHere!N8 &amp; " may spend up to 20% of total allocations on program administration, which is " &amp; TEXT(ROUND(VLOOKUP($E$3, DATAREF_50122!A:I, 3, FALSE), 0), "$#,##0") &amp; "." &amp; CHAR(10) &amp; "See source (1) below for " &amp; StartHere!N8 &amp; "’s allocations and requirements."</f>
        <v>Select State will receive total program allocations of up to $0.
Select State may spend up to 20% of total allocations on program administration, which is $0.
See source (1) below for Select State’s allocations and requirements.</v>
      </c>
      <c r="J2" s="152"/>
      <c r="K2" s="152"/>
      <c r="L2" s="152"/>
      <c r="M2" s="152"/>
      <c r="N2" s="152"/>
      <c r="O2" s="152"/>
      <c r="P2" s="152"/>
      <c r="Q2" s="152"/>
      <c r="R2" s="152"/>
      <c r="S2" s="152"/>
      <c r="T2" s="152"/>
    </row>
    <row r="3" spans="2:29" ht="18.600000000000001">
      <c r="B3" s="21"/>
      <c r="C3" s="21"/>
      <c r="D3" s="22" t="s">
        <v>7</v>
      </c>
      <c r="E3" s="23" t="str">
        <f>StartHere!N8</f>
        <v>Select State</v>
      </c>
      <c r="I3" s="152"/>
      <c r="J3" s="152"/>
      <c r="K3" s="152"/>
      <c r="L3" s="152"/>
      <c r="M3" s="152"/>
      <c r="N3" s="152"/>
      <c r="O3" s="152"/>
      <c r="P3" s="152"/>
      <c r="Q3" s="152"/>
      <c r="R3" s="152"/>
      <c r="S3" s="152"/>
      <c r="T3" s="152"/>
    </row>
    <row r="4" spans="2:29" ht="18" customHeight="1">
      <c r="I4" s="152"/>
      <c r="J4" s="152"/>
      <c r="K4" s="152"/>
      <c r="L4" s="152"/>
      <c r="M4" s="152"/>
      <c r="N4" s="152"/>
      <c r="O4" s="152"/>
      <c r="P4" s="152"/>
      <c r="Q4" s="152"/>
      <c r="R4" s="152"/>
      <c r="S4" s="152"/>
      <c r="T4" s="152"/>
    </row>
    <row r="5" spans="2:29" ht="17.45" customHeight="1">
      <c r="W5" s="75"/>
      <c r="X5" s="75"/>
      <c r="Y5" s="75"/>
      <c r="Z5" s="75"/>
      <c r="AA5" s="75"/>
      <c r="AB5" s="75"/>
      <c r="AC5" s="75"/>
    </row>
    <row r="6" spans="2:29" ht="17.45" customHeight="1">
      <c r="I6" s="27"/>
      <c r="L6" s="55"/>
      <c r="M6" s="55"/>
      <c r="N6" s="74"/>
      <c r="P6" s="10"/>
      <c r="Q6" s="73"/>
      <c r="W6" s="75"/>
      <c r="X6" s="75"/>
      <c r="Y6" s="75"/>
      <c r="Z6" s="76" t="s">
        <v>8</v>
      </c>
      <c r="AA6" s="75"/>
      <c r="AB6" s="88" t="s">
        <v>9</v>
      </c>
      <c r="AC6" s="75"/>
    </row>
    <row r="7" spans="2:29" ht="17.45" customHeight="1">
      <c r="I7" s="27"/>
      <c r="L7" s="55"/>
      <c r="M7" s="55"/>
      <c r="P7" s="10"/>
      <c r="Q7" s="5"/>
      <c r="W7" s="75"/>
      <c r="X7" s="75"/>
      <c r="Y7" s="77" t="s">
        <v>10</v>
      </c>
      <c r="Z7" s="114">
        <v>15000000</v>
      </c>
      <c r="AA7" s="75"/>
      <c r="AB7" s="87" t="str">
        <f>IFERROR(Z7/VLOOKUP($E$3, DATAREF_50122!A:I, 2, FALSE), "")</f>
        <v/>
      </c>
      <c r="AC7" s="75"/>
    </row>
    <row r="8" spans="2:29" ht="17.45" customHeight="1">
      <c r="I8" s="27"/>
      <c r="L8" s="55"/>
      <c r="M8" s="55"/>
      <c r="P8" s="10"/>
      <c r="Q8" s="5"/>
      <c r="W8" s="75"/>
      <c r="X8" s="75"/>
      <c r="Y8" s="77" t="s">
        <v>11</v>
      </c>
      <c r="Z8" s="114">
        <v>6500000</v>
      </c>
      <c r="AA8" s="75"/>
      <c r="AB8" s="87" t="str">
        <f>IFERROR(Z8/VLOOKUP($E$3, DATAREF_50122!A:I, 7, FALSE),"")</f>
        <v/>
      </c>
      <c r="AC8" s="75"/>
    </row>
    <row r="9" spans="2:29" ht="17.45" customHeight="1">
      <c r="I9" s="27"/>
      <c r="L9" s="55"/>
      <c r="M9" s="55"/>
      <c r="P9" s="10"/>
      <c r="Q9" s="5"/>
      <c r="W9" s="75"/>
      <c r="X9" s="75"/>
      <c r="Y9" s="77" t="s">
        <v>12</v>
      </c>
      <c r="Z9" s="114">
        <v>1000000</v>
      </c>
      <c r="AA9" s="75"/>
      <c r="AB9" s="87" t="str">
        <f>IFERROR(Z9/VLOOKUP($E$3, DATAREF_50122!A:I, 8, FALSE),"")</f>
        <v/>
      </c>
      <c r="AC9" s="75"/>
    </row>
    <row r="10" spans="2:29" ht="17.45" customHeight="1">
      <c r="I10" s="27"/>
      <c r="L10" s="55"/>
      <c r="M10" s="55"/>
      <c r="P10" s="10"/>
      <c r="Q10" s="5"/>
      <c r="W10" s="75"/>
      <c r="X10" s="75"/>
      <c r="Y10" s="77" t="s">
        <v>13</v>
      </c>
      <c r="Z10" s="114">
        <v>5000000</v>
      </c>
      <c r="AA10" s="75"/>
      <c r="AB10" s="87" t="str">
        <f>IFERROR(Z10/VLOOKUP($E$3, DATAREF_50122!A:I, 3, FALSE),"")</f>
        <v/>
      </c>
      <c r="AC10" s="75"/>
    </row>
    <row r="11" spans="2:29" ht="17.45" customHeight="1">
      <c r="I11" s="27"/>
      <c r="P11" s="10"/>
      <c r="Q11" s="5"/>
      <c r="W11" s="95" t="s">
        <v>14</v>
      </c>
      <c r="X11" s="75"/>
      <c r="Y11" s="75"/>
      <c r="Z11" s="75"/>
      <c r="AA11" s="75"/>
      <c r="AB11" s="75"/>
      <c r="AC11" s="75"/>
    </row>
    <row r="12" spans="2:29" ht="32.1" customHeight="1">
      <c r="F12" s="159" t="s">
        <v>15</v>
      </c>
      <c r="G12" s="159"/>
      <c r="H12" s="159"/>
      <c r="I12" s="159"/>
      <c r="J12" s="159"/>
      <c r="K12" s="159"/>
      <c r="L12" s="159"/>
      <c r="M12" s="159"/>
      <c r="N12" s="159"/>
      <c r="P12" s="10"/>
      <c r="Q12" s="5"/>
      <c r="W12" s="95"/>
      <c r="X12" s="75"/>
      <c r="Y12" s="75"/>
      <c r="Z12" s="75"/>
      <c r="AA12" s="75"/>
      <c r="AB12" s="75"/>
      <c r="AC12" s="75"/>
    </row>
    <row r="13" spans="2:29" ht="8.1" customHeight="1">
      <c r="W13" s="95"/>
      <c r="X13" s="75"/>
      <c r="Y13" s="75"/>
      <c r="Z13" s="75"/>
      <c r="AA13" s="75"/>
      <c r="AB13" s="75"/>
      <c r="AC13" s="75"/>
    </row>
    <row r="14" spans="2:29" ht="17.45" customHeight="1">
      <c r="B14" s="96"/>
      <c r="C14" s="97"/>
      <c r="D14" s="97"/>
      <c r="E14" s="97"/>
      <c r="F14" s="97"/>
      <c r="G14" s="97"/>
      <c r="H14" s="97"/>
      <c r="I14" s="97"/>
      <c r="J14" s="97"/>
      <c r="K14" s="97"/>
      <c r="L14" s="97"/>
      <c r="M14" s="97"/>
      <c r="N14" s="97"/>
      <c r="O14" s="97"/>
      <c r="P14" s="97"/>
      <c r="Q14" s="97"/>
      <c r="R14" s="97"/>
      <c r="S14" s="97"/>
      <c r="T14" s="98"/>
      <c r="W14" s="95"/>
      <c r="X14" s="75"/>
      <c r="Y14" s="75"/>
      <c r="Z14" s="75"/>
      <c r="AA14" s="75"/>
      <c r="AB14" s="75"/>
      <c r="AC14" s="75"/>
    </row>
    <row r="15" spans="2:29" ht="17.45" customHeight="1">
      <c r="B15" s="99"/>
      <c r="F15" s="100" t="str">
        <f>"You applied for early administrative funds of up to 2.5% of your total program allocations of " &amp;TEXT(ROUND(VLOOKUP($E$3, DATAREF_50122!A:I, 2, FALSE), 0), "$#,##0") &amp;"."</f>
        <v>You applied for early administrative funds of up to 2.5% of your total program allocations of $0.</v>
      </c>
      <c r="G15" s="100"/>
      <c r="H15" s="100"/>
      <c r="I15" s="100"/>
      <c r="J15" s="100"/>
      <c r="K15" s="100"/>
      <c r="L15" s="100"/>
      <c r="T15" s="101"/>
      <c r="W15" s="95"/>
      <c r="X15" s="75"/>
      <c r="Y15" s="75"/>
      <c r="Z15" s="75"/>
      <c r="AA15" s="75"/>
      <c r="AB15" s="75"/>
      <c r="AC15" s="75"/>
    </row>
    <row r="16" spans="2:29" ht="17.45" customHeight="1">
      <c r="B16" s="99"/>
      <c r="F16" s="109" t="s">
        <v>16</v>
      </c>
      <c r="G16" s="100"/>
      <c r="H16" s="100"/>
      <c r="I16" s="100"/>
      <c r="J16" s="100"/>
      <c r="K16" s="100"/>
      <c r="L16" s="100"/>
      <c r="T16" s="101"/>
      <c r="W16" s="95"/>
      <c r="X16" s="75"/>
      <c r="Y16" s="75"/>
      <c r="Z16" s="75"/>
      <c r="AA16" s="75"/>
      <c r="AB16" s="75"/>
      <c r="AC16" s="75"/>
    </row>
    <row r="17" spans="2:30" ht="17.45" customHeight="1">
      <c r="B17" s="99"/>
      <c r="F17" s="100" t="s">
        <v>17</v>
      </c>
      <c r="G17" s="100"/>
      <c r="H17" s="100"/>
      <c r="I17" s="100"/>
      <c r="J17" s="100"/>
      <c r="K17" s="100"/>
      <c r="L17" s="116"/>
      <c r="T17" s="101"/>
      <c r="W17" s="95"/>
      <c r="X17" s="75"/>
      <c r="Y17" s="75"/>
      <c r="Z17" s="75"/>
      <c r="AA17" s="75"/>
      <c r="AB17" s="75"/>
      <c r="AC17" s="75"/>
    </row>
    <row r="18" spans="2:30" ht="17.45" customHeight="1">
      <c r="B18" s="99"/>
      <c r="F18" s="100"/>
      <c r="G18" s="100"/>
      <c r="H18" s="100"/>
      <c r="I18" s="100"/>
      <c r="J18" s="100"/>
      <c r="K18" s="100"/>
      <c r="L18" s="100"/>
      <c r="T18" s="101"/>
      <c r="W18" s="95"/>
      <c r="X18" s="75"/>
      <c r="Y18" s="75"/>
      <c r="Z18" s="75"/>
      <c r="AA18" s="75"/>
      <c r="AB18" s="75"/>
      <c r="AC18" s="75"/>
    </row>
    <row r="19" spans="2:30" ht="17.45" customHeight="1">
      <c r="B19" s="99"/>
      <c r="F19" s="100"/>
      <c r="G19" s="100"/>
      <c r="H19" s="100"/>
      <c r="I19" s="100"/>
      <c r="J19" s="100"/>
      <c r="K19" s="100"/>
      <c r="L19" s="100"/>
      <c r="T19" s="101"/>
      <c r="W19" s="95"/>
      <c r="X19" s="75"/>
      <c r="Y19" s="75"/>
      <c r="Z19" s="75"/>
      <c r="AA19" s="75"/>
      <c r="AB19" s="75"/>
      <c r="AC19" s="75"/>
    </row>
    <row r="20" spans="2:30" ht="17.45" customHeight="1">
      <c r="B20" s="99"/>
      <c r="F20" s="100"/>
      <c r="G20" s="100"/>
      <c r="H20" s="100"/>
      <c r="I20" s="100"/>
      <c r="J20" s="100"/>
      <c r="K20" s="100"/>
      <c r="L20" s="100"/>
      <c r="T20" s="101"/>
      <c r="W20" s="95"/>
      <c r="X20" s="75"/>
      <c r="Y20" s="75"/>
      <c r="Z20" s="75"/>
      <c r="AA20" s="75"/>
      <c r="AB20" s="75"/>
      <c r="AC20" s="75"/>
    </row>
    <row r="21" spans="2:30" ht="17.45" customHeight="1">
      <c r="B21" s="99"/>
      <c r="F21" s="100"/>
      <c r="G21" s="100"/>
      <c r="H21" s="100"/>
      <c r="I21" s="100"/>
      <c r="J21" s="100"/>
      <c r="K21" s="100"/>
      <c r="L21" s="100"/>
      <c r="T21" s="101"/>
      <c r="W21" s="95"/>
      <c r="X21" s="75"/>
      <c r="Y21" s="75"/>
      <c r="Z21" s="75"/>
      <c r="AA21" s="75"/>
      <c r="AB21" s="75"/>
      <c r="AC21" s="75"/>
    </row>
    <row r="22" spans="2:30" ht="24.6" customHeight="1">
      <c r="B22" s="102"/>
      <c r="C22" s="103"/>
      <c r="D22" s="103"/>
      <c r="E22" s="103"/>
      <c r="F22" s="103"/>
      <c r="G22" s="103"/>
      <c r="H22" s="103"/>
      <c r="I22" s="103"/>
      <c r="J22" s="103"/>
      <c r="K22" s="103"/>
      <c r="L22" s="103"/>
      <c r="M22" s="103"/>
      <c r="N22" s="103"/>
      <c r="O22" s="103"/>
      <c r="P22" s="103"/>
      <c r="Q22" s="103"/>
      <c r="R22" s="103"/>
      <c r="S22" s="103"/>
      <c r="T22" s="104"/>
      <c r="W22" s="95"/>
      <c r="X22" s="75"/>
      <c r="Y22" s="75"/>
      <c r="Z22" s="75"/>
      <c r="AA22" s="75"/>
      <c r="AB22" s="75"/>
      <c r="AC22" s="75"/>
    </row>
    <row r="23" spans="2:30" ht="24.6" hidden="1" customHeight="1">
      <c r="G23" t="s">
        <v>18</v>
      </c>
      <c r="I23" s="115">
        <f>VLOOKUP($E$3, DATAREF_50122!A:I, 2, FALSE)</f>
        <v>0</v>
      </c>
      <c r="W23" s="95"/>
      <c r="X23" s="75"/>
      <c r="Y23" s="75"/>
      <c r="Z23" s="75"/>
      <c r="AA23" s="75"/>
      <c r="AB23" s="75"/>
      <c r="AC23" s="75"/>
    </row>
    <row r="24" spans="2:30" ht="12" customHeight="1">
      <c r="W24" s="95"/>
      <c r="X24" s="75"/>
      <c r="Y24" s="75"/>
      <c r="Z24" s="75"/>
      <c r="AA24" s="75"/>
      <c r="AB24" s="75"/>
      <c r="AC24" s="75"/>
    </row>
    <row r="25" spans="2:30">
      <c r="B25" s="35"/>
      <c r="C25" s="33"/>
      <c r="D25" s="33"/>
      <c r="E25" s="33"/>
      <c r="F25" s="33"/>
      <c r="G25" s="33"/>
      <c r="H25" s="33"/>
      <c r="I25" s="33"/>
      <c r="J25" s="33"/>
      <c r="K25" s="33"/>
      <c r="L25" s="34"/>
      <c r="M25" s="34"/>
      <c r="N25" s="33"/>
      <c r="O25" s="33"/>
      <c r="P25" s="33"/>
      <c r="Q25" s="33"/>
      <c r="R25" s="33"/>
      <c r="S25" s="33"/>
      <c r="T25" s="37"/>
      <c r="W25" s="75"/>
      <c r="X25" s="75"/>
      <c r="Y25" s="75"/>
      <c r="Z25" s="75"/>
      <c r="AA25" s="75"/>
      <c r="AB25" s="75"/>
      <c r="AC25" s="75"/>
    </row>
    <row r="26" spans="2:30">
      <c r="B26" s="36"/>
      <c r="L26" s="28"/>
      <c r="M26" s="28"/>
      <c r="T26" s="38"/>
      <c r="W26" s="75"/>
      <c r="X26" s="75"/>
      <c r="Y26" s="75"/>
      <c r="Z26" s="75"/>
      <c r="AA26" s="75"/>
      <c r="AB26" s="75"/>
      <c r="AC26" s="75"/>
    </row>
    <row r="27" spans="2:30" ht="18.600000000000001">
      <c r="B27" s="36"/>
      <c r="F27" s="24"/>
      <c r="J27" s="22" t="s">
        <v>19</v>
      </c>
      <c r="L27" s="112" cm="1">
        <f t="array" ref="L27">0.25*TotalFunds50122-EarlyAdmin50122</f>
        <v>0</v>
      </c>
      <c r="N27" s="93" t="s">
        <v>20</v>
      </c>
      <c r="T27" s="38"/>
      <c r="W27" s="81"/>
      <c r="X27" s="75"/>
      <c r="Y27" s="75"/>
      <c r="Z27" s="75"/>
      <c r="AA27" s="75"/>
      <c r="AB27" s="75"/>
      <c r="AC27" s="75"/>
    </row>
    <row r="28" spans="2:30" ht="6.6" customHeight="1">
      <c r="B28" s="36"/>
      <c r="L28" s="28"/>
      <c r="M28" s="28"/>
      <c r="T28" s="38"/>
      <c r="W28" s="85"/>
      <c r="X28" s="75"/>
      <c r="Y28" s="75"/>
      <c r="Z28" s="75"/>
      <c r="AA28" s="75"/>
      <c r="AB28" s="75"/>
      <c r="AC28" s="75"/>
    </row>
    <row r="29" spans="2:30" ht="9" customHeight="1">
      <c r="B29" s="36"/>
      <c r="E29" s="26"/>
      <c r="F29" s="26"/>
      <c r="G29" s="26"/>
      <c r="H29" s="26"/>
      <c r="I29" s="26"/>
      <c r="J29" s="26"/>
      <c r="K29" s="26"/>
      <c r="L29" s="28"/>
      <c r="M29" s="28"/>
      <c r="T29" s="38"/>
      <c r="W29" s="75"/>
      <c r="X29" s="75"/>
      <c r="Y29" s="75"/>
      <c r="Z29" s="75"/>
      <c r="AA29" s="75"/>
      <c r="AB29" s="75"/>
      <c r="AC29" s="75"/>
    </row>
    <row r="30" spans="2:30" ht="22.35" customHeight="1">
      <c r="B30" s="36"/>
      <c r="E30" s="56"/>
      <c r="F30" s="153" t="s">
        <v>21</v>
      </c>
      <c r="G30" s="153"/>
      <c r="H30" s="153"/>
      <c r="I30" s="153"/>
      <c r="J30" s="154"/>
      <c r="K30" s="56"/>
      <c r="L30" s="58"/>
      <c r="M30" s="59"/>
      <c r="N30" s="59"/>
      <c r="O30" s="59"/>
      <c r="P30" s="59"/>
      <c r="Q30" s="57"/>
      <c r="R30" s="60"/>
      <c r="T30" s="38"/>
      <c r="W30" s="75"/>
      <c r="X30" s="75"/>
      <c r="Y30" s="75"/>
      <c r="Z30" s="75"/>
      <c r="AA30" s="75"/>
      <c r="AB30" s="75"/>
      <c r="AC30" s="75"/>
    </row>
    <row r="31" spans="2:30" ht="19.350000000000001" customHeight="1">
      <c r="B31" s="36"/>
      <c r="E31" s="61"/>
      <c r="F31" s="155"/>
      <c r="G31" s="155"/>
      <c r="H31" s="155"/>
      <c r="I31" s="155"/>
      <c r="J31" s="156"/>
      <c r="K31" s="61"/>
      <c r="L31" s="157" t="s">
        <v>22</v>
      </c>
      <c r="M31" s="157"/>
      <c r="N31" s="157"/>
      <c r="O31" s="157"/>
      <c r="P31" s="157"/>
      <c r="Q31" s="157"/>
      <c r="R31" s="158"/>
      <c r="T31" s="38"/>
      <c r="W31" s="75"/>
      <c r="X31" s="75"/>
      <c r="Y31" s="75"/>
      <c r="Z31" s="75"/>
      <c r="AA31" s="75"/>
      <c r="AB31" s="75"/>
      <c r="AC31" s="75"/>
    </row>
    <row r="32" spans="2:30" ht="14.45" customHeight="1">
      <c r="B32" s="36"/>
      <c r="E32" s="61"/>
      <c r="H32" s="26"/>
      <c r="J32" s="68"/>
      <c r="K32" s="61"/>
      <c r="L32" s="69"/>
      <c r="M32" s="28"/>
      <c r="N32" s="26"/>
      <c r="O32" s="26"/>
      <c r="P32" s="26"/>
      <c r="Q32" s="26"/>
      <c r="R32" s="62"/>
      <c r="T32" s="38"/>
      <c r="W32" s="75"/>
      <c r="X32" s="75"/>
      <c r="Y32" s="75"/>
      <c r="Z32" s="75"/>
      <c r="AA32" s="75"/>
      <c r="AB32" s="75"/>
      <c r="AC32" s="78"/>
      <c r="AD32" s="31"/>
    </row>
    <row r="33" spans="2:34" ht="24.6" customHeight="1">
      <c r="B33" s="36"/>
      <c r="E33" s="63"/>
      <c r="F33" s="150">
        <f>VLOOKUP($E$3, DATAREF_50122!A:I, 7, FALSE)*0.05</f>
        <v>0</v>
      </c>
      <c r="G33" s="151"/>
      <c r="I33" s="30" t="s">
        <v>23</v>
      </c>
      <c r="K33" s="63"/>
      <c r="L33" s="111">
        <f>VLOOKUP($E$3, DATAREF_50122!A:I, 7, FALSE)*0.1</f>
        <v>0</v>
      </c>
      <c r="M33" s="64" t="s">
        <v>24</v>
      </c>
      <c r="N33" s="111">
        <f>VLOOKUP($E$3, DATAREF_50122!A:I, 7, FALSE)*0.15</f>
        <v>0</v>
      </c>
      <c r="O33" s="70"/>
      <c r="P33" s="31" t="s">
        <v>25</v>
      </c>
      <c r="R33" s="62"/>
      <c r="T33" s="38"/>
      <c r="W33" s="75"/>
      <c r="X33" s="75"/>
      <c r="Y33" s="75"/>
      <c r="Z33" s="75"/>
      <c r="AA33" s="75"/>
      <c r="AB33" s="75"/>
      <c r="AC33" s="78"/>
      <c r="AD33" s="31"/>
    </row>
    <row r="34" spans="2:34" ht="16.7" customHeight="1">
      <c r="B34" s="36"/>
      <c r="E34" s="65"/>
      <c r="F34" s="66"/>
      <c r="G34" s="66"/>
      <c r="H34" s="66"/>
      <c r="I34" s="66"/>
      <c r="J34" s="66"/>
      <c r="K34" s="65"/>
      <c r="L34" s="66"/>
      <c r="M34" s="66"/>
      <c r="N34" s="66"/>
      <c r="O34" s="66"/>
      <c r="P34" s="66"/>
      <c r="Q34" s="66"/>
      <c r="R34" s="67"/>
      <c r="T34" s="38"/>
      <c r="W34" s="75"/>
      <c r="X34" s="75"/>
      <c r="Y34" s="75"/>
      <c r="Z34" s="75"/>
      <c r="AA34" s="75"/>
      <c r="AB34" s="75"/>
      <c r="AC34" s="75"/>
    </row>
    <row r="35" spans="2:34" ht="14.45" customHeight="1">
      <c r="B35" s="36"/>
      <c r="R35" s="50" t="s">
        <v>26</v>
      </c>
      <c r="T35" s="38"/>
      <c r="W35" s="75"/>
      <c r="X35" s="75"/>
      <c r="Y35" s="75"/>
      <c r="Z35" s="75"/>
      <c r="AA35" s="75"/>
      <c r="AB35" s="75"/>
      <c r="AC35" s="75"/>
    </row>
    <row r="36" spans="2:34" ht="18.600000000000001">
      <c r="B36" s="36"/>
      <c r="E36" s="24" t="s">
        <v>27</v>
      </c>
      <c r="T36" s="38"/>
      <c r="W36" s="75"/>
      <c r="X36" s="75"/>
      <c r="Y36" s="75"/>
      <c r="Z36" s="75"/>
      <c r="AA36" s="75"/>
      <c r="AB36" s="75"/>
      <c r="AC36" s="75"/>
    </row>
    <row r="37" spans="2:34" ht="18.600000000000001">
      <c r="B37" s="36"/>
      <c r="E37" s="24" t="s">
        <v>28</v>
      </c>
      <c r="T37" s="38"/>
      <c r="W37" s="79"/>
      <c r="X37" s="80"/>
      <c r="Y37" s="80"/>
      <c r="Z37" s="75"/>
      <c r="AA37" s="81"/>
      <c r="AB37" s="75"/>
      <c r="AC37" s="75"/>
    </row>
    <row r="38" spans="2:34" ht="18.600000000000001">
      <c r="B38" s="39"/>
      <c r="C38" s="40"/>
      <c r="D38" s="40"/>
      <c r="E38" s="40"/>
      <c r="F38" s="40"/>
      <c r="G38" s="40"/>
      <c r="H38" s="40"/>
      <c r="I38" s="40"/>
      <c r="J38" s="40"/>
      <c r="K38" s="40"/>
      <c r="L38" s="40"/>
      <c r="M38" s="40"/>
      <c r="N38" s="40"/>
      <c r="O38" s="40"/>
      <c r="P38" s="40"/>
      <c r="Q38" s="40"/>
      <c r="R38" s="40"/>
      <c r="S38" s="40"/>
      <c r="T38" s="41"/>
      <c r="W38" s="79"/>
      <c r="X38" s="80"/>
      <c r="Y38" s="80"/>
      <c r="Z38" s="75"/>
      <c r="AA38" s="81"/>
      <c r="AB38" s="75"/>
      <c r="AC38" s="75"/>
    </row>
    <row r="39" spans="2:34" ht="18.600000000000001">
      <c r="B39" s="33"/>
      <c r="W39" s="79"/>
      <c r="X39" s="75"/>
      <c r="Y39" s="75"/>
      <c r="Z39" s="75"/>
      <c r="AA39" s="75"/>
      <c r="AB39" s="75"/>
      <c r="AC39" s="75"/>
    </row>
    <row r="40" spans="2:34" ht="18.600000000000001">
      <c r="B40" s="35"/>
      <c r="C40" s="33"/>
      <c r="D40" s="33"/>
      <c r="E40" s="33"/>
      <c r="F40" s="33"/>
      <c r="G40" s="33"/>
      <c r="H40" s="33"/>
      <c r="I40" s="33"/>
      <c r="J40" s="33"/>
      <c r="K40" s="33"/>
      <c r="L40" s="34"/>
      <c r="M40" s="34"/>
      <c r="N40" s="33"/>
      <c r="O40" s="33"/>
      <c r="P40" s="33"/>
      <c r="Q40" s="33"/>
      <c r="R40" s="33"/>
      <c r="S40" s="33"/>
      <c r="T40" s="37"/>
      <c r="W40" s="79"/>
      <c r="X40" s="80"/>
      <c r="Y40" s="75"/>
      <c r="Z40" s="82"/>
      <c r="AA40" s="75"/>
      <c r="AB40" s="78"/>
      <c r="AC40" s="75"/>
    </row>
    <row r="41" spans="2:34" ht="18.600000000000001">
      <c r="B41" s="36"/>
      <c r="L41" s="28"/>
      <c r="M41" s="28"/>
      <c r="T41" s="38"/>
      <c r="W41" s="79"/>
      <c r="X41" s="80"/>
      <c r="Y41" s="75"/>
      <c r="Z41" s="82"/>
      <c r="AA41" s="75"/>
      <c r="AB41" s="78"/>
      <c r="AC41" s="75"/>
    </row>
    <row r="42" spans="2:34" ht="18.600000000000001">
      <c r="B42" s="36"/>
      <c r="F42" s="24"/>
      <c r="J42" s="22" t="s">
        <v>29</v>
      </c>
      <c r="L42" s="112">
        <f>0.3*TotalFunds50122</f>
        <v>0</v>
      </c>
      <c r="M42" s="29"/>
      <c r="N42" s="93" t="s">
        <v>30</v>
      </c>
      <c r="T42" s="38"/>
      <c r="W42" s="75"/>
      <c r="X42" s="75"/>
      <c r="Y42" s="75"/>
      <c r="Z42" s="75"/>
      <c r="AA42" s="75"/>
      <c r="AB42" s="75"/>
      <c r="AC42" s="75"/>
    </row>
    <row r="43" spans="2:34" ht="6.6" customHeight="1">
      <c r="B43" s="36"/>
      <c r="L43" s="28"/>
      <c r="M43" s="28"/>
      <c r="T43" s="38"/>
      <c r="W43" s="75"/>
      <c r="X43" s="75"/>
      <c r="Y43" s="75"/>
      <c r="Z43" s="75"/>
      <c r="AA43" s="75"/>
      <c r="AB43" s="75"/>
      <c r="AC43" s="75"/>
    </row>
    <row r="44" spans="2:34" ht="14.45" customHeight="1">
      <c r="B44" s="36"/>
      <c r="J44" s="54" t="s">
        <v>31</v>
      </c>
      <c r="L44" s="113">
        <f>0.55*TotalFunds50122</f>
        <v>0</v>
      </c>
      <c r="M44" s="28"/>
      <c r="T44" s="38"/>
      <c r="W44" s="75"/>
      <c r="X44" s="75"/>
      <c r="Y44" s="75"/>
      <c r="Z44" s="75"/>
      <c r="AA44" s="75"/>
      <c r="AB44" s="75"/>
      <c r="AC44" s="75"/>
    </row>
    <row r="45" spans="2:34" ht="9" customHeight="1">
      <c r="B45" s="36"/>
      <c r="E45" s="26"/>
      <c r="F45" s="26"/>
      <c r="G45" s="26"/>
      <c r="H45" s="26"/>
      <c r="I45" s="26"/>
      <c r="J45" s="26"/>
      <c r="K45" s="26"/>
      <c r="L45" s="26"/>
      <c r="M45" s="28"/>
      <c r="T45" s="38"/>
      <c r="W45" s="75"/>
      <c r="X45" s="75"/>
      <c r="Y45" s="75"/>
      <c r="Z45" s="75"/>
      <c r="AA45" s="75"/>
      <c r="AB45" s="75"/>
      <c r="AC45" s="75"/>
    </row>
    <row r="46" spans="2:34" ht="10.7" customHeight="1">
      <c r="B46" s="36"/>
      <c r="S46" s="44"/>
      <c r="T46" s="45"/>
      <c r="U46" s="26"/>
      <c r="V46" s="26"/>
      <c r="W46" s="75"/>
      <c r="X46" s="75"/>
      <c r="Y46" s="75"/>
      <c r="Z46" s="75"/>
      <c r="AA46" s="75"/>
      <c r="AB46" s="75"/>
      <c r="AC46" s="81"/>
      <c r="AD46" s="28"/>
      <c r="AF46" s="44"/>
      <c r="AG46" s="44"/>
      <c r="AH46" s="44"/>
    </row>
    <row r="47" spans="2:34" ht="20.45" customHeight="1">
      <c r="B47" s="36"/>
      <c r="E47" s="71"/>
      <c r="F47" s="142" t="s">
        <v>32</v>
      </c>
      <c r="G47" s="142"/>
      <c r="H47" s="142"/>
      <c r="I47" s="142"/>
      <c r="J47" s="143"/>
      <c r="K47" s="71"/>
      <c r="L47" s="146" t="s">
        <v>33</v>
      </c>
      <c r="M47" s="146"/>
      <c r="N47" s="146"/>
      <c r="O47" s="146"/>
      <c r="P47" s="146"/>
      <c r="Q47" s="146"/>
      <c r="R47" s="146"/>
      <c r="S47" s="147"/>
      <c r="T47" s="45"/>
      <c r="U47" s="26"/>
      <c r="V47" s="26"/>
      <c r="W47" s="75"/>
      <c r="X47" s="75"/>
      <c r="Y47" s="75"/>
      <c r="Z47" s="75"/>
      <c r="AA47" s="75"/>
      <c r="AB47" s="75"/>
      <c r="AC47" s="85"/>
      <c r="AD47" s="29"/>
      <c r="AE47" s="31"/>
      <c r="AF47" s="44"/>
      <c r="AG47" s="44"/>
      <c r="AH47" s="44"/>
    </row>
    <row r="48" spans="2:34" ht="16.350000000000001" customHeight="1">
      <c r="B48" s="36"/>
      <c r="E48" s="65"/>
      <c r="F48" s="144"/>
      <c r="G48" s="144"/>
      <c r="H48" s="144"/>
      <c r="I48" s="144"/>
      <c r="J48" s="145"/>
      <c r="K48" s="65"/>
      <c r="L48" s="148"/>
      <c r="M48" s="148"/>
      <c r="N48" s="148"/>
      <c r="O48" s="148"/>
      <c r="P48" s="148"/>
      <c r="Q48" s="148"/>
      <c r="R48" s="148"/>
      <c r="S48" s="149"/>
      <c r="T48" s="45"/>
      <c r="U48" s="26"/>
      <c r="V48" s="26"/>
      <c r="W48" s="75"/>
      <c r="X48" s="75"/>
      <c r="Y48" s="75"/>
      <c r="Z48" s="75"/>
      <c r="AA48" s="75"/>
      <c r="AB48" s="75"/>
      <c r="AC48" s="81"/>
      <c r="AD48" s="28"/>
      <c r="AE48" s="44"/>
      <c r="AF48" s="44"/>
      <c r="AG48" s="44"/>
      <c r="AH48" s="44"/>
    </row>
    <row r="49" spans="2:34" ht="6.6" customHeight="1">
      <c r="B49" s="36"/>
      <c r="E49" s="63"/>
      <c r="J49" s="62"/>
      <c r="K49" s="63"/>
      <c r="S49" s="72"/>
      <c r="T49" s="43"/>
      <c r="U49" s="26"/>
      <c r="V49" s="26"/>
      <c r="W49" s="79"/>
      <c r="X49" s="80"/>
      <c r="Y49" s="80"/>
      <c r="Z49" s="75"/>
      <c r="AA49" s="81"/>
      <c r="AB49" s="75"/>
      <c r="AC49" s="81"/>
      <c r="AD49" s="28"/>
      <c r="AE49" s="42"/>
      <c r="AF49" s="42"/>
      <c r="AG49" s="42"/>
      <c r="AH49" s="42"/>
    </row>
    <row r="50" spans="2:34" ht="19.350000000000001" customHeight="1">
      <c r="B50" s="36"/>
      <c r="E50" s="63"/>
      <c r="F50" s="150">
        <f>0.35*VLOOKUP($E$3, DATAREF_50122!A:I, 7, FALSE)</f>
        <v>0</v>
      </c>
      <c r="G50" s="151"/>
      <c r="I50" s="30" t="s">
        <v>25</v>
      </c>
      <c r="J50" s="62"/>
      <c r="K50" s="63"/>
      <c r="L50" s="111">
        <f>0.5*VLOOKUP($E$3, DATAREF_50122!A:I, 7, FALSE)</f>
        <v>0</v>
      </c>
      <c r="M50" s="32" t="s">
        <v>24</v>
      </c>
      <c r="N50" s="111">
        <f>0.6*VLOOKUP($E$3, DATAREF_50122!A:I, 7, FALSE)</f>
        <v>0</v>
      </c>
      <c r="O50" s="70"/>
      <c r="P50" s="31" t="s">
        <v>34</v>
      </c>
      <c r="S50" s="62"/>
      <c r="T50" s="38"/>
      <c r="U50" s="26"/>
      <c r="V50" s="26"/>
      <c r="W50" s="79"/>
      <c r="X50" s="75"/>
      <c r="Y50" s="75"/>
      <c r="Z50" s="75"/>
      <c r="AA50" s="75"/>
      <c r="AB50" s="75"/>
      <c r="AC50" s="85"/>
      <c r="AD50" s="29"/>
      <c r="AE50" s="52"/>
    </row>
    <row r="51" spans="2:34" ht="14.45" customHeight="1">
      <c r="B51" s="36"/>
      <c r="E51" s="63"/>
      <c r="J51" s="62"/>
      <c r="K51" s="63"/>
      <c r="S51" s="62"/>
      <c r="T51" s="38"/>
      <c r="U51" s="26"/>
      <c r="V51" s="26"/>
      <c r="W51" s="79"/>
      <c r="X51" s="80"/>
      <c r="Y51" s="75"/>
      <c r="Z51" s="82"/>
      <c r="AA51" s="75"/>
      <c r="AB51" s="78"/>
      <c r="AC51" s="81"/>
      <c r="AD51" s="28"/>
    </row>
    <row r="52" spans="2:34" ht="19.350000000000001" customHeight="1">
      <c r="B52" s="36"/>
      <c r="E52" s="63"/>
      <c r="F52" s="150">
        <f>0.05*VLOOKUP($E$3, DATAREF_50122!A:I, 8, FALSE)</f>
        <v>0</v>
      </c>
      <c r="G52" s="151"/>
      <c r="I52" s="30" t="s">
        <v>35</v>
      </c>
      <c r="J52" s="62"/>
      <c r="K52" s="63"/>
      <c r="M52" s="24"/>
      <c r="N52" s="111">
        <f>0.25*VLOOKUP($E$3, DATAREF_50122!A:I, 8, FALSE)</f>
        <v>0</v>
      </c>
      <c r="O52" s="70"/>
      <c r="P52" s="30" t="s">
        <v>35</v>
      </c>
      <c r="S52" s="62"/>
      <c r="T52" s="38"/>
      <c r="U52" s="26"/>
      <c r="V52" s="26"/>
      <c r="W52" s="83"/>
      <c r="X52" s="75"/>
      <c r="Y52" s="84"/>
      <c r="Z52" s="75"/>
      <c r="AA52" s="75"/>
      <c r="AB52" s="75"/>
      <c r="AC52" s="75"/>
      <c r="AD52" s="28"/>
    </row>
    <row r="53" spans="2:34" ht="16.7" customHeight="1">
      <c r="B53" s="36"/>
      <c r="E53" s="65"/>
      <c r="F53" s="66"/>
      <c r="G53" s="66"/>
      <c r="H53" s="66"/>
      <c r="I53" s="66"/>
      <c r="J53" s="67"/>
      <c r="K53" s="65"/>
      <c r="L53" s="66"/>
      <c r="M53" s="66"/>
      <c r="N53" s="66"/>
      <c r="O53" s="66"/>
      <c r="P53" s="66"/>
      <c r="Q53" s="66"/>
      <c r="R53" s="66"/>
      <c r="S53" s="67"/>
      <c r="T53" s="38"/>
      <c r="U53" s="26"/>
      <c r="V53" s="26"/>
      <c r="W53" s="75"/>
      <c r="X53" s="75"/>
      <c r="Y53" s="75"/>
      <c r="Z53" s="75"/>
      <c r="AA53" s="75"/>
      <c r="AB53" s="75"/>
      <c r="AC53" s="86"/>
      <c r="AD53" s="28"/>
      <c r="AE53" s="31"/>
      <c r="AF53" s="31"/>
      <c r="AG53" s="31"/>
    </row>
    <row r="54" spans="2:34" ht="14.45" customHeight="1">
      <c r="B54" s="36"/>
      <c r="R54" s="50"/>
      <c r="S54" s="50" t="s">
        <v>26</v>
      </c>
      <c r="T54" s="38"/>
      <c r="U54" s="26"/>
      <c r="V54" s="26"/>
      <c r="W54" s="75"/>
      <c r="X54" s="75"/>
      <c r="Y54" s="75"/>
      <c r="Z54" s="75"/>
      <c r="AA54" s="75"/>
      <c r="AB54" s="75"/>
      <c r="AC54" s="82"/>
      <c r="AE54" s="31"/>
      <c r="AF54" s="31"/>
      <c r="AG54" s="31"/>
    </row>
    <row r="55" spans="2:34" ht="15" customHeight="1">
      <c r="B55" s="36"/>
      <c r="E55" s="24" t="s">
        <v>36</v>
      </c>
      <c r="T55" s="38"/>
      <c r="W55" s="75"/>
      <c r="X55" s="75"/>
      <c r="Y55" s="75"/>
      <c r="Z55" s="75"/>
      <c r="AA55" s="75"/>
      <c r="AB55" s="75"/>
      <c r="AC55" s="75"/>
      <c r="AD55" s="28"/>
    </row>
    <row r="56" spans="2:34" ht="18" customHeight="1">
      <c r="B56" s="36"/>
      <c r="E56" s="24" t="s">
        <v>37</v>
      </c>
      <c r="T56" s="38"/>
      <c r="U56" s="26"/>
      <c r="V56" s="26"/>
      <c r="W56" s="75"/>
      <c r="X56" s="75"/>
      <c r="Y56" s="75"/>
      <c r="Z56" s="75"/>
      <c r="AA56" s="75"/>
      <c r="AB56" s="75"/>
      <c r="AC56" s="86"/>
      <c r="AD56" s="28"/>
      <c r="AE56" s="51"/>
      <c r="AF56" s="31"/>
      <c r="AG56" s="31"/>
    </row>
    <row r="57" spans="2:34">
      <c r="B57" s="39"/>
      <c r="C57" s="40"/>
      <c r="D57" s="40"/>
      <c r="E57" s="40"/>
      <c r="F57" s="40"/>
      <c r="G57" s="40"/>
      <c r="H57" s="40"/>
      <c r="I57" s="40"/>
      <c r="J57" s="40"/>
      <c r="K57" s="40"/>
      <c r="L57" s="40"/>
      <c r="M57" s="40"/>
      <c r="N57" s="40"/>
      <c r="O57" s="40"/>
      <c r="P57" s="40"/>
      <c r="Q57" s="40"/>
      <c r="R57" s="40"/>
      <c r="S57" s="40"/>
      <c r="T57" s="41"/>
      <c r="W57" s="75"/>
      <c r="X57" s="75"/>
      <c r="Y57" s="75"/>
      <c r="Z57" s="75"/>
      <c r="AA57" s="75"/>
      <c r="AB57" s="75"/>
      <c r="AC57" s="75"/>
    </row>
    <row r="58" spans="2:34">
      <c r="W58" s="75"/>
      <c r="X58" s="75"/>
      <c r="Y58" s="75"/>
      <c r="Z58" s="75"/>
      <c r="AA58" s="75"/>
      <c r="AB58" s="75"/>
      <c r="AC58" s="75"/>
    </row>
    <row r="59" spans="2:34">
      <c r="B59" s="35"/>
      <c r="C59" s="33"/>
      <c r="D59" s="33"/>
      <c r="E59" s="33"/>
      <c r="F59" s="33"/>
      <c r="G59" s="33"/>
      <c r="H59" s="33"/>
      <c r="I59" s="33"/>
      <c r="J59" s="33"/>
      <c r="K59" s="33"/>
      <c r="L59" s="34"/>
      <c r="M59" s="34"/>
      <c r="N59" s="33"/>
      <c r="O59" s="33"/>
      <c r="P59" s="33"/>
      <c r="Q59" s="33"/>
      <c r="R59" s="33"/>
      <c r="S59" s="33"/>
      <c r="T59" s="37"/>
      <c r="W59" s="75"/>
      <c r="X59" s="75"/>
      <c r="Y59" s="75"/>
      <c r="Z59" s="75"/>
      <c r="AA59" s="75"/>
      <c r="AB59" s="75"/>
      <c r="AC59" s="75"/>
    </row>
    <row r="60" spans="2:34">
      <c r="B60" s="36"/>
      <c r="L60" s="28"/>
      <c r="M60" s="28"/>
      <c r="T60" s="38"/>
      <c r="W60" s="75"/>
      <c r="X60" s="75"/>
      <c r="Y60" s="75"/>
      <c r="Z60" s="75"/>
      <c r="AA60" s="75"/>
      <c r="AB60" s="75"/>
      <c r="AC60" s="75"/>
    </row>
    <row r="61" spans="2:34" ht="18.600000000000001">
      <c r="B61" s="36"/>
      <c r="F61" s="24"/>
      <c r="J61" s="22" t="s">
        <v>38</v>
      </c>
      <c r="L61" s="112">
        <f>0.25*TotalFunds50122</f>
        <v>0</v>
      </c>
      <c r="M61" s="29"/>
      <c r="N61" s="93" t="s">
        <v>20</v>
      </c>
      <c r="T61" s="38"/>
      <c r="W61" s="75"/>
      <c r="X61" s="75"/>
      <c r="Y61" s="75"/>
      <c r="Z61" s="75"/>
      <c r="AA61" s="75"/>
      <c r="AB61" s="75"/>
      <c r="AC61" s="75"/>
    </row>
    <row r="62" spans="2:34" ht="6.6" customHeight="1">
      <c r="B62" s="36"/>
      <c r="L62" s="28"/>
      <c r="M62" s="28"/>
      <c r="T62" s="38"/>
      <c r="W62" s="75"/>
      <c r="X62" s="75"/>
      <c r="Y62" s="75"/>
      <c r="Z62" s="75"/>
      <c r="AA62" s="75"/>
      <c r="AB62" s="75"/>
      <c r="AC62" s="75"/>
    </row>
    <row r="63" spans="2:34" ht="15.6" customHeight="1">
      <c r="B63" s="36"/>
      <c r="J63" s="54" t="s">
        <v>31</v>
      </c>
      <c r="L63" s="113">
        <f>0.8*TotalFunds50122</f>
        <v>0</v>
      </c>
      <c r="M63" s="28"/>
      <c r="T63" s="38"/>
      <c r="W63" s="25"/>
      <c r="X63" s="26"/>
      <c r="Y63" s="26"/>
      <c r="AA63" s="28"/>
    </row>
    <row r="64" spans="2:34" ht="9" customHeight="1">
      <c r="B64" s="36"/>
      <c r="E64" s="26"/>
      <c r="F64" s="26"/>
      <c r="G64" s="26"/>
      <c r="H64" s="26"/>
      <c r="I64" s="26"/>
      <c r="J64" s="26"/>
      <c r="K64" s="26"/>
      <c r="L64" s="28"/>
      <c r="M64" s="28"/>
      <c r="T64" s="38"/>
      <c r="W64" s="25"/>
    </row>
    <row r="65" spans="2:28" ht="10.7" customHeight="1">
      <c r="B65" s="36"/>
      <c r="E65" s="26"/>
      <c r="F65" s="26"/>
      <c r="G65" s="26"/>
      <c r="H65" s="26"/>
      <c r="I65" s="26"/>
      <c r="J65" s="26"/>
      <c r="K65" s="26"/>
      <c r="L65" s="28"/>
      <c r="M65" s="28"/>
      <c r="P65" s="44"/>
      <c r="Q65" s="44"/>
      <c r="R65" s="44"/>
      <c r="S65" s="44"/>
      <c r="T65" s="45"/>
      <c r="W65" s="25"/>
      <c r="X65" s="26"/>
      <c r="Z65" s="105"/>
      <c r="AB65" s="31"/>
    </row>
    <row r="66" spans="2:28" ht="20.45" customHeight="1">
      <c r="B66" s="36"/>
      <c r="E66" s="71"/>
      <c r="F66" s="142" t="s">
        <v>32</v>
      </c>
      <c r="G66" s="142"/>
      <c r="H66" s="142"/>
      <c r="I66" s="142"/>
      <c r="J66" s="143"/>
      <c r="K66" s="71"/>
      <c r="L66" s="146" t="s">
        <v>33</v>
      </c>
      <c r="M66" s="146"/>
      <c r="N66" s="146"/>
      <c r="O66" s="146"/>
      <c r="P66" s="146"/>
      <c r="Q66" s="146"/>
      <c r="R66" s="146"/>
      <c r="S66" s="147"/>
      <c r="T66" s="45"/>
      <c r="W66" s="106"/>
      <c r="Y66" s="107"/>
    </row>
    <row r="67" spans="2:28" ht="16.350000000000001" customHeight="1">
      <c r="B67" s="36"/>
      <c r="E67" s="65"/>
      <c r="F67" s="144"/>
      <c r="G67" s="144"/>
      <c r="H67" s="144"/>
      <c r="I67" s="144"/>
      <c r="J67" s="145"/>
      <c r="K67" s="65"/>
      <c r="L67" s="148"/>
      <c r="M67" s="148"/>
      <c r="N67" s="148"/>
      <c r="O67" s="148"/>
      <c r="P67" s="148"/>
      <c r="Q67" s="148"/>
      <c r="R67" s="148"/>
      <c r="S67" s="149"/>
      <c r="T67" s="45"/>
    </row>
    <row r="68" spans="2:28" ht="6.6" customHeight="1">
      <c r="B68" s="36"/>
      <c r="E68" s="63"/>
      <c r="J68" s="62"/>
      <c r="K68" s="63"/>
      <c r="S68" s="72"/>
      <c r="T68" s="43"/>
      <c r="W68" s="26"/>
      <c r="X68" s="26"/>
      <c r="Y68" s="26"/>
      <c r="Z68" s="26"/>
      <c r="AA68" s="26"/>
      <c r="AB68" s="26"/>
    </row>
    <row r="69" spans="2:28" ht="16.350000000000001" customHeight="1">
      <c r="B69" s="36"/>
      <c r="E69" s="63"/>
      <c r="F69" s="150">
        <f>0.6*VLOOKUP($E$3, DATAREF_50122!A:I, 7, FALSE)</f>
        <v>0</v>
      </c>
      <c r="G69" s="151"/>
      <c r="I69" s="30" t="s">
        <v>25</v>
      </c>
      <c r="J69" s="62"/>
      <c r="K69" s="63"/>
      <c r="L69" s="111">
        <f>0.8*VLOOKUP($E$3, DATAREF_50122!A:I, 7, FALSE)</f>
        <v>0</v>
      </c>
      <c r="M69" s="70"/>
      <c r="N69" s="31" t="s">
        <v>34</v>
      </c>
      <c r="S69" s="62"/>
      <c r="T69" s="38"/>
      <c r="W69" s="26"/>
      <c r="X69" s="26"/>
      <c r="Y69" s="26"/>
      <c r="Z69" s="53"/>
      <c r="AA69" s="108"/>
      <c r="AB69" s="108"/>
    </row>
    <row r="70" spans="2:28" ht="14.45" customHeight="1">
      <c r="B70" s="36"/>
      <c r="E70" s="63"/>
      <c r="J70" s="62"/>
      <c r="K70" s="63"/>
      <c r="S70" s="62"/>
      <c r="T70" s="38"/>
    </row>
    <row r="71" spans="2:28" ht="17.45" customHeight="1">
      <c r="B71" s="36"/>
      <c r="E71" s="63"/>
      <c r="F71" s="150">
        <f>0.25*VLOOKUP($E$3, DATAREF_50122!A:I, 8, FALSE)</f>
        <v>0</v>
      </c>
      <c r="G71" s="151"/>
      <c r="I71" s="30" t="s">
        <v>35</v>
      </c>
      <c r="J71" s="62"/>
      <c r="L71" s="111">
        <f>0.7*VLOOKUP($E$3, DATAREF_50122!A:I, 8, FALSE)</f>
        <v>0</v>
      </c>
      <c r="M71" s="70"/>
      <c r="N71" s="30" t="s">
        <v>35</v>
      </c>
      <c r="S71" s="62"/>
      <c r="T71" s="38"/>
    </row>
    <row r="72" spans="2:28" ht="16.7" customHeight="1">
      <c r="B72" s="36"/>
      <c r="E72" s="65"/>
      <c r="F72" s="66"/>
      <c r="G72" s="66"/>
      <c r="H72" s="66"/>
      <c r="I72" s="66"/>
      <c r="J72" s="67"/>
      <c r="K72" s="65"/>
      <c r="L72" s="66"/>
      <c r="M72" s="66"/>
      <c r="N72" s="66"/>
      <c r="O72" s="66"/>
      <c r="P72" s="66"/>
      <c r="Q72" s="66"/>
      <c r="R72" s="66"/>
      <c r="S72" s="67"/>
      <c r="T72" s="38"/>
    </row>
    <row r="73" spans="2:28" ht="14.45" customHeight="1">
      <c r="B73" s="36"/>
      <c r="E73" s="26"/>
      <c r="F73" s="26"/>
      <c r="G73" s="26"/>
      <c r="H73" s="25"/>
      <c r="I73" s="26"/>
      <c r="N73" s="31"/>
      <c r="O73" s="31"/>
      <c r="P73" s="31"/>
      <c r="Q73" s="31"/>
      <c r="S73" s="50" t="s">
        <v>26</v>
      </c>
      <c r="T73" s="38"/>
    </row>
    <row r="74" spans="2:28" ht="17.45" customHeight="1">
      <c r="B74" s="36"/>
      <c r="E74" s="24" t="s">
        <v>39</v>
      </c>
      <c r="F74" s="26"/>
      <c r="G74" s="26"/>
      <c r="H74" s="26"/>
      <c r="I74" s="26"/>
      <c r="J74" s="26"/>
      <c r="K74" s="26"/>
      <c r="M74" s="28"/>
      <c r="T74" s="38"/>
    </row>
    <row r="75" spans="2:28" ht="18" customHeight="1">
      <c r="B75" s="36"/>
      <c r="E75" s="31" t="s">
        <v>40</v>
      </c>
      <c r="F75" s="26"/>
      <c r="G75" s="26"/>
      <c r="H75" s="24"/>
      <c r="I75" s="46"/>
      <c r="M75" s="28"/>
      <c r="N75" s="51"/>
      <c r="O75" s="51"/>
      <c r="P75" s="31"/>
      <c r="Q75" s="31"/>
      <c r="T75" s="38"/>
    </row>
    <row r="76" spans="2:28">
      <c r="B76" s="39"/>
      <c r="C76" s="40"/>
      <c r="D76" s="40"/>
      <c r="E76" s="40"/>
      <c r="F76" s="40"/>
      <c r="G76" s="40"/>
      <c r="H76" s="40"/>
      <c r="I76" s="40"/>
      <c r="J76" s="40"/>
      <c r="K76" s="40"/>
      <c r="L76" s="40"/>
      <c r="M76" s="40"/>
      <c r="N76" s="40"/>
      <c r="O76" s="40"/>
      <c r="P76" s="40"/>
      <c r="Q76" s="40"/>
      <c r="R76" s="40"/>
      <c r="S76" s="40"/>
      <c r="T76" s="41"/>
    </row>
    <row r="78" spans="2:28">
      <c r="B78" s="35"/>
      <c r="C78" s="33"/>
      <c r="D78" s="33"/>
      <c r="E78" s="33"/>
      <c r="F78" s="33"/>
      <c r="G78" s="33"/>
      <c r="H78" s="33"/>
      <c r="I78" s="33"/>
      <c r="J78" s="33"/>
      <c r="K78" s="33"/>
      <c r="L78" s="33"/>
      <c r="M78" s="33"/>
      <c r="N78" s="33"/>
      <c r="O78" s="33"/>
      <c r="P78" s="33"/>
      <c r="Q78" s="33"/>
      <c r="R78" s="33"/>
      <c r="S78" s="33"/>
      <c r="T78" s="37"/>
    </row>
    <row r="79" spans="2:28" ht="18.600000000000001">
      <c r="B79" s="36"/>
      <c r="T79" s="38"/>
      <c r="W79" s="29"/>
    </row>
    <row r="80" spans="2:28" ht="18.600000000000001">
      <c r="B80" s="36"/>
      <c r="J80" s="22" t="s">
        <v>41</v>
      </c>
      <c r="L80" s="112">
        <f>0.2*TotalFunds50122</f>
        <v>0</v>
      </c>
      <c r="N80" s="31" t="s">
        <v>42</v>
      </c>
      <c r="O80" s="31"/>
      <c r="T80" s="38"/>
      <c r="W80" s="28"/>
    </row>
    <row r="81" spans="2:25" ht="6" customHeight="1">
      <c r="B81" s="36"/>
      <c r="J81" s="22"/>
      <c r="L81" s="90"/>
      <c r="N81" s="31"/>
      <c r="O81" s="31"/>
      <c r="T81" s="38"/>
      <c r="W81" s="106"/>
      <c r="Y81" s="107"/>
    </row>
    <row r="82" spans="2:25">
      <c r="B82" s="36"/>
      <c r="J82" s="54" t="s">
        <v>31</v>
      </c>
      <c r="L82" s="113">
        <f>TotalFunds50122</f>
        <v>0</v>
      </c>
      <c r="T82" s="38"/>
    </row>
    <row r="83" spans="2:25">
      <c r="B83" s="36"/>
      <c r="T83" s="38"/>
    </row>
    <row r="84" spans="2:25">
      <c r="B84" s="36"/>
      <c r="T84" s="38"/>
    </row>
    <row r="85" spans="2:25" ht="18.600000000000001">
      <c r="B85" s="36"/>
      <c r="J85" s="47" t="s">
        <v>43</v>
      </c>
      <c r="L85" s="112">
        <f>VLOOKUP($E$3, DATAREF_50122!A:I, 3, FALSE)</f>
        <v>0</v>
      </c>
      <c r="N85" s="93" t="s">
        <v>44</v>
      </c>
      <c r="T85" s="38"/>
    </row>
    <row r="86" spans="2:25" ht="17.45">
      <c r="B86" s="36"/>
      <c r="J86" s="48"/>
      <c r="T86" s="38"/>
    </row>
    <row r="87" spans="2:25" ht="18.600000000000001">
      <c r="B87" s="36"/>
      <c r="J87" s="47" t="s">
        <v>45</v>
      </c>
      <c r="L87" s="112">
        <f>VLOOKUP($E$3, DATAREF_50122!A:I, 7, FALSE)</f>
        <v>0</v>
      </c>
      <c r="N87" s="93" t="s">
        <v>46</v>
      </c>
      <c r="T87" s="38"/>
    </row>
    <row r="88" spans="2:25" ht="17.45">
      <c r="B88" s="36"/>
      <c r="J88" s="48"/>
      <c r="T88" s="38"/>
    </row>
    <row r="89" spans="2:25" ht="18.600000000000001">
      <c r="B89" s="36"/>
      <c r="J89" s="47" t="s">
        <v>47</v>
      </c>
      <c r="L89" s="112">
        <f>VLOOKUP($E$3, DATAREF_50122!A:I, 8, FALSE)</f>
        <v>0</v>
      </c>
      <c r="N89" s="93" t="s">
        <v>48</v>
      </c>
      <c r="T89" s="38"/>
    </row>
    <row r="90" spans="2:25">
      <c r="B90" s="36"/>
      <c r="T90" s="38"/>
    </row>
    <row r="91" spans="2:25" ht="18.600000000000001">
      <c r="B91" s="36"/>
      <c r="E91" s="24" t="s">
        <v>49</v>
      </c>
      <c r="T91" s="38"/>
    </row>
    <row r="92" spans="2:25" ht="18.600000000000001">
      <c r="B92" s="36"/>
      <c r="E92" s="24" t="s">
        <v>50</v>
      </c>
      <c r="T92" s="38"/>
    </row>
    <row r="93" spans="2:25">
      <c r="B93" s="36"/>
      <c r="T93" s="38"/>
    </row>
    <row r="94" spans="2:25">
      <c r="B94" s="39"/>
      <c r="C94" s="40"/>
      <c r="D94" s="40"/>
      <c r="E94" s="40"/>
      <c r="F94" s="40"/>
      <c r="G94" s="40"/>
      <c r="H94" s="40"/>
      <c r="I94" s="40"/>
      <c r="J94" s="40"/>
      <c r="K94" s="40"/>
      <c r="L94" s="40"/>
      <c r="M94" s="40"/>
      <c r="N94" s="40"/>
      <c r="O94" s="40"/>
      <c r="P94" s="40"/>
      <c r="Q94" s="40"/>
      <c r="R94" s="40"/>
      <c r="S94" s="40"/>
      <c r="T94" s="41"/>
    </row>
    <row r="97" spans="2:12">
      <c r="B97" s="50" t="s">
        <v>51</v>
      </c>
    </row>
    <row r="98" spans="2:12">
      <c r="B98" s="92" t="s">
        <v>52</v>
      </c>
      <c r="J98" s="89"/>
    </row>
    <row r="99" spans="2:12">
      <c r="B99" s="92" t="s">
        <v>53</v>
      </c>
      <c r="J99" s="89"/>
    </row>
    <row r="100" spans="2:12">
      <c r="B100" s="92" t="s">
        <v>54</v>
      </c>
      <c r="J100" s="91"/>
    </row>
    <row r="101" spans="2:12">
      <c r="I101" s="53"/>
      <c r="J101" s="53"/>
    </row>
    <row r="104" spans="2:12" ht="17.45">
      <c r="F104" s="100"/>
      <c r="G104" s="100"/>
      <c r="H104" s="100"/>
      <c r="I104" s="100"/>
      <c r="J104" s="100"/>
      <c r="K104" s="100"/>
      <c r="L104" s="100"/>
    </row>
    <row r="105" spans="2:12" ht="17.45">
      <c r="F105" s="100"/>
      <c r="G105" s="100"/>
      <c r="H105" s="100"/>
      <c r="I105" s="100"/>
      <c r="J105" s="100"/>
      <c r="K105" s="100"/>
      <c r="L105" s="100"/>
    </row>
    <row r="106" spans="2:12" ht="17.45">
      <c r="F106" s="100"/>
      <c r="G106" s="100"/>
      <c r="H106" s="100"/>
      <c r="I106" s="100"/>
      <c r="J106" s="100"/>
      <c r="K106" s="100"/>
      <c r="L106" s="100"/>
    </row>
    <row r="107" spans="2:12" ht="17.45">
      <c r="F107" s="100"/>
      <c r="G107" s="100"/>
      <c r="H107" s="100"/>
      <c r="I107" s="100"/>
      <c r="J107" s="100"/>
      <c r="K107" s="100"/>
      <c r="L107" s="100"/>
    </row>
    <row r="108" spans="2:12" ht="17.45">
      <c r="F108" s="100"/>
      <c r="G108" s="100"/>
      <c r="H108" s="100"/>
      <c r="I108" s="100"/>
      <c r="J108" s="100"/>
      <c r="K108" s="100"/>
      <c r="L108" s="100"/>
    </row>
    <row r="109" spans="2:12" ht="17.45">
      <c r="F109" s="100"/>
      <c r="G109" s="100"/>
      <c r="H109" s="100"/>
      <c r="I109" s="100"/>
      <c r="J109" s="100"/>
      <c r="K109" s="100"/>
      <c r="L109" s="100"/>
    </row>
    <row r="110" spans="2:12" ht="17.45">
      <c r="F110" s="100"/>
      <c r="G110" s="100"/>
      <c r="H110" s="100"/>
      <c r="I110" s="100"/>
      <c r="J110" s="100"/>
      <c r="K110" s="100"/>
      <c r="L110" s="100"/>
    </row>
  </sheetData>
  <mergeCells count="13">
    <mergeCell ref="F71:G71"/>
    <mergeCell ref="I2:T4"/>
    <mergeCell ref="F12:N12"/>
    <mergeCell ref="F30:J31"/>
    <mergeCell ref="L31:R31"/>
    <mergeCell ref="F33:G33"/>
    <mergeCell ref="F47:J48"/>
    <mergeCell ref="L47:S48"/>
    <mergeCell ref="F50:G50"/>
    <mergeCell ref="F52:G52"/>
    <mergeCell ref="F66:J67"/>
    <mergeCell ref="L66:S67"/>
    <mergeCell ref="F69:G69"/>
  </mergeCells>
  <conditionalFormatting sqref="I6:L10">
    <cfRule type="expression" dxfId="21" priority="13">
      <formula>INDIRECT("StartHere!M13")="No"</formula>
    </cfRule>
  </conditionalFormatting>
  <conditionalFormatting sqref="AB7:AB10">
    <cfRule type="dataBar" priority="12">
      <dataBar>
        <cfvo type="num" val="0"/>
        <cfvo type="num" val="1"/>
        <color rgb="FF638EC6"/>
      </dataBar>
      <extLst>
        <ext xmlns:x14="http://schemas.microsoft.com/office/spreadsheetml/2009/9/main" uri="{B025F937-C7B1-47D3-B67F-A62EFF666E3E}">
          <x14:id>{2754F802-060F-403E-AF69-7BBE6CE7ADEC}</x14:id>
        </ext>
      </extLst>
    </cfRule>
  </conditionalFormatting>
  <hyperlinks>
    <hyperlink ref="B99" r:id="rId1" display="(2) Tranche funding requirements (descriptions of tranche-specific milestones and deliverables are described in (1))" xr:uid="{9578516E-E42A-4B63-A737-B3C4056DFC21}"/>
    <hyperlink ref="B100" r:id="rId2" display="(3) Early administration funding information" xr:uid="{E95B7FE0-C07C-405C-963F-51BCE44FAA93}"/>
    <hyperlink ref="B98" r:id="rId3" display="(1) Program requirements, application instructions, and total fund allocation information" xr:uid="{58885BA7-A2F2-4D43-95C1-E79E46853839}"/>
  </hyperlinks>
  <pageMargins left="0.7" right="0.7" top="0.75" bottom="0.75" header="0.3" footer="0.3"/>
  <drawing r:id="rId4"/>
  <extLst>
    <ext xmlns:x14="http://schemas.microsoft.com/office/spreadsheetml/2009/9/main" uri="{78C0D931-6437-407d-A8EE-F0AAD7539E65}">
      <x14:conditionalFormattings>
        <x14:conditionalFormatting xmlns:xm="http://schemas.microsoft.com/office/excel/2006/main">
          <x14:cfRule type="dataBar" id="{2754F802-060F-403E-AF69-7BBE6CE7ADEC}">
            <x14:dataBar minLength="0" maxLength="100" gradient="0">
              <x14:cfvo type="num">
                <xm:f>0</xm:f>
              </x14:cfvo>
              <x14:cfvo type="num">
                <xm:f>1</xm:f>
              </x14:cfvo>
              <x14:negativeFillColor rgb="FFFF0000"/>
              <x14:axisColor rgb="FF000000"/>
            </x14:dataBar>
          </x14:cfRule>
          <xm:sqref>AB7:AB10</xm:sqref>
        </x14:conditionalFormatting>
        <x14:conditionalFormatting xmlns:xm="http://schemas.microsoft.com/office/excel/2006/main">
          <x14:cfRule type="expression" priority="10" id="{56BE182C-BF68-4C85-9EC0-B4598A7FB49F}">
            <xm:f>StartHere!N13 = "No"</xm:f>
            <x14:dxf>
              <font>
                <color theme="0"/>
              </font>
              <fill>
                <patternFill>
                  <bgColor theme="0"/>
                </patternFill>
              </fill>
            </x14:dxf>
          </x14:cfRule>
          <xm:sqref>F15</xm:sqref>
        </x14:conditionalFormatting>
        <x14:conditionalFormatting xmlns:xm="http://schemas.microsoft.com/office/excel/2006/main">
          <x14:cfRule type="expression" priority="6" id="{6B7B1561-CF51-47CD-B071-CF27C75C827D}">
            <xm:f>StartHere!N13 = "Yes"</xm:f>
            <x14:dxf>
              <font>
                <color theme="0"/>
              </font>
            </x14:dxf>
          </x14:cfRule>
          <xm:sqref>F16</xm:sqref>
        </x14:conditionalFormatting>
        <x14:conditionalFormatting xmlns:xm="http://schemas.microsoft.com/office/excel/2006/main">
          <x14:cfRule type="expression" priority="9" id="{1BE0B360-22C2-457D-8E84-752F0DBF4D12}">
            <xm:f>StartHere!N13 = "No"</xm:f>
            <x14:dxf>
              <font>
                <color theme="0"/>
              </font>
            </x14:dxf>
          </x14:cfRule>
          <xm:sqref>F17</xm:sqref>
        </x14:conditionalFormatting>
        <x14:conditionalFormatting xmlns:xm="http://schemas.microsoft.com/office/excel/2006/main">
          <x14:cfRule type="expression" priority="2" id="{88763E43-E89E-4002-BE94-61D0771137EE}">
            <xm:f>StartHere!N8 &lt;&gt; "Select State"</xm:f>
            <x14:dxf>
              <font>
                <color theme="0"/>
              </font>
            </x14:dxf>
          </x14:cfRule>
          <x14:cfRule type="expression" priority="3" id="{465D2E08-58BF-42D7-9402-1F075B8F45A3}">
            <xm:f>StartHere!N8 &lt;&gt; "Select State"</xm:f>
            <x14:dxf>
              <fill>
                <patternFill>
                  <bgColor theme="0"/>
                </patternFill>
              </fill>
            </x14:dxf>
          </x14:cfRule>
          <xm:sqref>F12:N12</xm:sqref>
        </x14:conditionalFormatting>
        <x14:conditionalFormatting xmlns:xm="http://schemas.microsoft.com/office/excel/2006/main">
          <x14:cfRule type="expression" priority="1" id="{48FF9AFD-6DA8-4878-88CE-CC2929F2E538}">
            <xm:f>StartHere!N8 ="Select State"</xm:f>
            <x14:dxf>
              <font>
                <color theme="0"/>
              </font>
            </x14:dxf>
          </x14:cfRule>
          <xm:sqref>I2:T4</xm:sqref>
        </x14:conditionalFormatting>
        <x14:conditionalFormatting xmlns:xm="http://schemas.microsoft.com/office/excel/2006/main">
          <x14:cfRule type="expression" priority="5" id="{3DBC7721-1EB3-4EB2-A95C-6FDFBE1115B0}">
            <xm:f>StartHere!$N$13="No"</xm:f>
            <x14:dxf>
              <font>
                <color theme="0"/>
              </font>
            </x14:dxf>
          </x14:cfRule>
          <x14:cfRule type="expression" priority="7" id="{34809EC0-D206-477D-A80D-F6EF87A0377A}">
            <xm:f>StartHere!N13 = "No"</xm:f>
            <x14:dxf>
              <fill>
                <patternFill>
                  <bgColor theme="0"/>
                </patternFill>
              </fill>
              <border>
                <left style="thin">
                  <color theme="0"/>
                </left>
                <right style="thin">
                  <color theme="0"/>
                </right>
                <top style="thin">
                  <color theme="0"/>
                </top>
                <bottom style="thin">
                  <color theme="0"/>
                </bottom>
                <vertical/>
                <horizontal/>
              </border>
            </x14:dxf>
          </x14:cfRule>
          <x14:cfRule type="expression" priority="8" id="{01CADFEF-0579-44B2-95C6-C2376DA047AB}">
            <xm:f>StartHere!N13 = "No"</xm:f>
            <x14:dxf>
              <fill>
                <patternFill>
                  <bgColor theme="0" tint="-4.9989318521683403E-2"/>
                </patternFill>
              </fill>
            </x14:dxf>
          </x14:cfRule>
          <xm:sqref>L17</xm:sqref>
        </x14:conditionalFormatting>
        <x14:conditionalFormatting xmlns:xm="http://schemas.microsoft.com/office/excel/2006/main">
          <x14:cfRule type="expression" priority="11" id="{1B422C93-8B65-4FD4-AEEC-000830A29DFC}">
            <xm:f>StartHere!N13 = "No"</xm:f>
            <x14:dxf>
              <font>
                <color theme="0" tint="-4.9989318521683403E-2"/>
              </font>
            </x14:dxf>
          </x14:cfRule>
          <xm:sqref>W11:W12</xm:sqref>
        </x14:conditionalFormatting>
        <x14:conditionalFormatting xmlns:xm="http://schemas.microsoft.com/office/excel/2006/main">
          <x14:cfRule type="expression" priority="24" id="{025F0329-16D9-4F97-A03D-6AB0C2490A79}">
            <xm:f>StartHere!N14 = "No"</xm:f>
            <x14:dxf>
              <font>
                <color theme="0" tint="-4.9989318521683403E-2"/>
              </font>
            </x14:dxf>
          </x14:cfRule>
          <xm:sqref>W13</xm:sqref>
        </x14:conditionalFormatting>
        <x14:conditionalFormatting xmlns:xm="http://schemas.microsoft.com/office/excel/2006/main">
          <x14:cfRule type="expression" priority="23" id="{2A60B067-6C75-4600-BC42-C33A7EF1D8CE}">
            <xm:f>StartHere!N14 = "No"</xm:f>
            <x14:dxf>
              <font>
                <color theme="0" tint="-4.9989318521683403E-2"/>
              </font>
            </x14:dxf>
          </x14:cfRule>
          <xm:sqref>W14</xm:sqref>
        </x14:conditionalFormatting>
        <x14:conditionalFormatting xmlns:xm="http://schemas.microsoft.com/office/excel/2006/main">
          <x14:cfRule type="expression" priority="22" id="{4696BF71-72BB-422B-9336-6BF8BDE3EC34}">
            <xm:f>StartHere!N14 = "No"</xm:f>
            <x14:dxf>
              <font>
                <color theme="0" tint="-4.9989318521683403E-2"/>
              </font>
            </x14:dxf>
          </x14:cfRule>
          <xm:sqref>W15</xm:sqref>
        </x14:conditionalFormatting>
        <x14:conditionalFormatting xmlns:xm="http://schemas.microsoft.com/office/excel/2006/main">
          <x14:cfRule type="expression" priority="21" id="{3A6EFEA2-CC93-4F20-BB22-9D1E24DEE11D}">
            <xm:f>StartHere!N14 = "No"</xm:f>
            <x14:dxf>
              <font>
                <color theme="0" tint="-4.9989318521683403E-2"/>
              </font>
            </x14:dxf>
          </x14:cfRule>
          <xm:sqref>W16</xm:sqref>
        </x14:conditionalFormatting>
        <x14:conditionalFormatting xmlns:xm="http://schemas.microsoft.com/office/excel/2006/main">
          <x14:cfRule type="expression" priority="20" id="{44C476E4-7AB8-4C8E-8436-05BBF2148430}">
            <xm:f>StartHere!N14 = "No"</xm:f>
            <x14:dxf>
              <font>
                <color theme="0" tint="-4.9989318521683403E-2"/>
              </font>
            </x14:dxf>
          </x14:cfRule>
          <xm:sqref>W17</xm:sqref>
        </x14:conditionalFormatting>
        <x14:conditionalFormatting xmlns:xm="http://schemas.microsoft.com/office/excel/2006/main">
          <x14:cfRule type="expression" priority="19" id="{350FA95D-F2C8-4E61-BC03-9C150F44A8EE}">
            <xm:f>StartHere!N14 = "No"</xm:f>
            <x14:dxf>
              <font>
                <color theme="0" tint="-4.9989318521683403E-2"/>
              </font>
            </x14:dxf>
          </x14:cfRule>
          <xm:sqref>W18</xm:sqref>
        </x14:conditionalFormatting>
        <x14:conditionalFormatting xmlns:xm="http://schemas.microsoft.com/office/excel/2006/main">
          <x14:cfRule type="expression" priority="18" id="{5F9FA280-111E-4A66-932E-EAB0EDEA0770}">
            <xm:f>StartHere!N14 = "No"</xm:f>
            <x14:dxf>
              <font>
                <color theme="0" tint="-4.9989318521683403E-2"/>
              </font>
            </x14:dxf>
          </x14:cfRule>
          <xm:sqref>W19</xm:sqref>
        </x14:conditionalFormatting>
        <x14:conditionalFormatting xmlns:xm="http://schemas.microsoft.com/office/excel/2006/main">
          <x14:cfRule type="expression" priority="17" id="{CA7DCDB0-522C-472C-9136-D05DC7BDBF7F}">
            <xm:f>StartHere!N14 = "No"</xm:f>
            <x14:dxf>
              <font>
                <color theme="0" tint="-4.9989318521683403E-2"/>
              </font>
            </x14:dxf>
          </x14:cfRule>
          <xm:sqref>W20</xm:sqref>
        </x14:conditionalFormatting>
        <x14:conditionalFormatting xmlns:xm="http://schemas.microsoft.com/office/excel/2006/main">
          <x14:cfRule type="expression" priority="16" id="{9A2682BE-39D6-42DD-9606-C39B9376392E}">
            <xm:f>StartHere!N14 = "No"</xm:f>
            <x14:dxf>
              <font>
                <color theme="0" tint="-4.9989318521683403E-2"/>
              </font>
            </x14:dxf>
          </x14:cfRule>
          <xm:sqref>W21</xm:sqref>
        </x14:conditionalFormatting>
        <x14:conditionalFormatting xmlns:xm="http://schemas.microsoft.com/office/excel/2006/main">
          <x14:cfRule type="expression" priority="15" id="{AE797486-4A91-41E0-BE4F-4FEB7B8B9EB6}">
            <xm:f>StartHere!N14 = "No"</xm:f>
            <x14:dxf>
              <font>
                <color theme="0" tint="-4.9989318521683403E-2"/>
              </font>
            </x14:dxf>
          </x14:cfRule>
          <xm:sqref>W22:W23</xm:sqref>
        </x14:conditionalFormatting>
        <x14:conditionalFormatting xmlns:xm="http://schemas.microsoft.com/office/excel/2006/main">
          <x14:cfRule type="expression" priority="14" id="{230BE631-B9E2-4FDD-8D80-056F0D4F9E02}">
            <xm:f>StartHere!N14 = "No"</xm:f>
            <x14:dxf>
              <font>
                <color theme="0" tint="-4.9989318521683403E-2"/>
              </font>
            </x14:dxf>
          </x14:cfRule>
          <xm:sqref>W24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314-0D24-408D-9D54-9C456D0ECF97}">
  <sheetPr codeName="Sheet2"/>
  <dimension ref="A1:I62"/>
  <sheetViews>
    <sheetView showGridLines="0" topLeftCell="A33" workbookViewId="0">
      <selection activeCell="D58" sqref="D58"/>
    </sheetView>
  </sheetViews>
  <sheetFormatPr defaultRowHeight="14.45"/>
  <cols>
    <col min="1" max="1" width="17.140625" customWidth="1"/>
    <col min="2" max="2" width="20.85546875" customWidth="1"/>
    <col min="3" max="3" width="20.140625" customWidth="1"/>
    <col min="4" max="4" width="12.85546875" customWidth="1"/>
    <col min="5" max="5" width="18.85546875" customWidth="1"/>
    <col min="6" max="6" width="17.85546875" customWidth="1"/>
    <col min="7" max="9" width="12.85546875" customWidth="1"/>
    <col min="10" max="12" width="10.85546875" customWidth="1"/>
  </cols>
  <sheetData>
    <row r="1" spans="1:9" ht="39" customHeight="1">
      <c r="A1" s="160" t="s">
        <v>56</v>
      </c>
      <c r="B1" s="160"/>
      <c r="C1" s="160"/>
      <c r="D1" s="160"/>
      <c r="E1" s="160"/>
      <c r="F1" s="160"/>
      <c r="G1" s="160"/>
      <c r="H1" s="160"/>
      <c r="I1" s="160"/>
    </row>
    <row r="2" spans="1:9" ht="62.45" customHeight="1">
      <c r="A2" s="118" t="s">
        <v>57</v>
      </c>
      <c r="B2" s="118" t="s">
        <v>58</v>
      </c>
      <c r="C2" s="118" t="s">
        <v>59</v>
      </c>
      <c r="D2" s="118" t="s">
        <v>60</v>
      </c>
      <c r="E2" s="118" t="s">
        <v>61</v>
      </c>
      <c r="F2" s="118" t="s">
        <v>62</v>
      </c>
      <c r="G2" s="118" t="s">
        <v>63</v>
      </c>
      <c r="H2" s="118" t="s">
        <v>64</v>
      </c>
      <c r="I2" s="118" t="s">
        <v>65</v>
      </c>
    </row>
    <row r="3" spans="1:9" ht="1.35" customHeight="1">
      <c r="A3" s="119" t="s">
        <v>1</v>
      </c>
      <c r="B3" s="119"/>
      <c r="C3" s="119"/>
      <c r="D3" s="119"/>
      <c r="E3" s="119"/>
      <c r="F3" s="119"/>
      <c r="G3" s="119"/>
      <c r="H3" s="119"/>
      <c r="I3" s="119"/>
    </row>
    <row r="4" spans="1:9">
      <c r="A4" s="120" t="s">
        <v>66</v>
      </c>
      <c r="B4" s="121">
        <v>72888465</v>
      </c>
      <c r="C4" s="121">
        <v>14577693</v>
      </c>
      <c r="D4" s="122">
        <v>58310772</v>
      </c>
      <c r="E4" s="123">
        <v>0.41</v>
      </c>
      <c r="F4" s="124">
        <v>0.41</v>
      </c>
      <c r="G4" s="121">
        <v>23907416.52</v>
      </c>
      <c r="H4" s="121">
        <v>5831077.2000000002</v>
      </c>
      <c r="I4" s="121">
        <v>28572278.280000005</v>
      </c>
    </row>
    <row r="5" spans="1:9">
      <c r="A5" s="120" t="s">
        <v>67</v>
      </c>
      <c r="B5" s="121">
        <v>37293071</v>
      </c>
      <c r="C5" s="121">
        <v>7458614.2000000002</v>
      </c>
      <c r="D5" s="122">
        <v>29834456.800000001</v>
      </c>
      <c r="E5" s="123">
        <v>0.39100000000000001</v>
      </c>
      <c r="F5" s="124">
        <v>0.39100000000000001</v>
      </c>
      <c r="G5" s="121">
        <v>11665272.608800001</v>
      </c>
      <c r="H5" s="121">
        <v>2983445.68</v>
      </c>
      <c r="I5" s="121">
        <v>15185738.5112</v>
      </c>
    </row>
    <row r="6" spans="1:9">
      <c r="A6" s="120" t="s">
        <v>68</v>
      </c>
      <c r="B6" s="121">
        <v>76717153</v>
      </c>
      <c r="C6" s="121">
        <v>15343430.600000001</v>
      </c>
      <c r="D6" s="122">
        <v>61373722.400000006</v>
      </c>
      <c r="E6" s="123">
        <v>0.39700000000000002</v>
      </c>
      <c r="F6" s="124">
        <v>0.39699999999999996</v>
      </c>
      <c r="G6" s="121">
        <v>24365367.792800002</v>
      </c>
      <c r="H6" s="121">
        <v>6137372.2400000012</v>
      </c>
      <c r="I6" s="121">
        <v>30870982.367200002</v>
      </c>
    </row>
    <row r="7" spans="1:9">
      <c r="A7" s="120" t="s">
        <v>69</v>
      </c>
      <c r="B7" s="121">
        <v>52633292</v>
      </c>
      <c r="C7" s="121">
        <v>10526658.4</v>
      </c>
      <c r="D7" s="122">
        <v>42106633.600000001</v>
      </c>
      <c r="E7" s="123">
        <v>0.40500000000000003</v>
      </c>
      <c r="F7" s="124">
        <v>0.40500000000000003</v>
      </c>
      <c r="G7" s="121">
        <v>17053186.608000003</v>
      </c>
      <c r="H7" s="121">
        <v>4210663.3600000003</v>
      </c>
      <c r="I7" s="121">
        <v>20842783.631999999</v>
      </c>
    </row>
    <row r="8" spans="1:9">
      <c r="A8" s="120" t="s">
        <v>70</v>
      </c>
      <c r="B8" s="121">
        <v>291366906</v>
      </c>
      <c r="C8" s="121">
        <v>58273381.200000003</v>
      </c>
      <c r="D8" s="122">
        <v>233093524.80000001</v>
      </c>
      <c r="E8" s="123">
        <v>0.40699999999999997</v>
      </c>
      <c r="F8" s="124">
        <v>0.40699999999999997</v>
      </c>
      <c r="G8" s="121">
        <v>94869064.593600005</v>
      </c>
      <c r="H8" s="121">
        <v>23309352.480000004</v>
      </c>
      <c r="I8" s="121">
        <v>114915107.7264</v>
      </c>
    </row>
    <row r="9" spans="1:9">
      <c r="A9" s="120" t="s">
        <v>71</v>
      </c>
      <c r="B9" s="121">
        <v>70256845</v>
      </c>
      <c r="C9" s="121">
        <v>14051369</v>
      </c>
      <c r="D9" s="122">
        <v>56205476</v>
      </c>
      <c r="E9" s="123">
        <v>0.39600000000000002</v>
      </c>
      <c r="F9" s="124">
        <v>0.39599999999999996</v>
      </c>
      <c r="G9" s="121">
        <v>22257368.495999999</v>
      </c>
      <c r="H9" s="121">
        <v>5620547.6000000006</v>
      </c>
      <c r="I9" s="121">
        <v>28327559.903999999</v>
      </c>
    </row>
    <row r="10" spans="1:9">
      <c r="A10" s="120" t="s">
        <v>72</v>
      </c>
      <c r="B10" s="121">
        <v>49732517</v>
      </c>
      <c r="C10" s="121">
        <v>9946503.4000000004</v>
      </c>
      <c r="D10" s="122">
        <v>39786013.600000001</v>
      </c>
      <c r="E10" s="123">
        <v>0.40799999999999997</v>
      </c>
      <c r="F10" s="124">
        <v>0.40799999999999997</v>
      </c>
      <c r="G10" s="121">
        <v>16232693.548799999</v>
      </c>
      <c r="H10" s="121">
        <v>3978601.3600000003</v>
      </c>
      <c r="I10" s="121">
        <v>19574718.691200003</v>
      </c>
    </row>
    <row r="11" spans="1:9">
      <c r="A11" s="120" t="s">
        <v>73</v>
      </c>
      <c r="B11" s="121">
        <v>32964663</v>
      </c>
      <c r="C11" s="121">
        <v>6592932.6000000006</v>
      </c>
      <c r="D11" s="122">
        <v>26371730.400000002</v>
      </c>
      <c r="E11" s="123">
        <v>0.39800000000000002</v>
      </c>
      <c r="F11" s="124">
        <v>0.39799999999999996</v>
      </c>
      <c r="G11" s="121">
        <v>10495948.699200001</v>
      </c>
      <c r="H11" s="121">
        <v>2637173.0400000005</v>
      </c>
      <c r="I11" s="121">
        <v>13238608.660800001</v>
      </c>
    </row>
    <row r="12" spans="1:9">
      <c r="A12" s="120" t="s">
        <v>74</v>
      </c>
      <c r="B12" s="121">
        <v>29748696</v>
      </c>
      <c r="C12" s="121">
        <v>5949739.2000000002</v>
      </c>
      <c r="D12" s="122">
        <v>23798956.800000001</v>
      </c>
      <c r="E12" s="123">
        <v>0.41399999999999998</v>
      </c>
      <c r="F12" s="124">
        <v>0.41399999999999998</v>
      </c>
      <c r="G12" s="121">
        <v>9852768.1151999999</v>
      </c>
      <c r="H12" s="121">
        <v>2379895.6800000002</v>
      </c>
      <c r="I12" s="121">
        <v>11566293.004800001</v>
      </c>
    </row>
    <row r="13" spans="1:9">
      <c r="A13" s="120" t="s">
        <v>75</v>
      </c>
      <c r="B13" s="121">
        <v>173318260</v>
      </c>
      <c r="C13" s="121">
        <v>34663652</v>
      </c>
      <c r="D13" s="122">
        <v>138654608</v>
      </c>
      <c r="E13" s="123">
        <v>0.40200000000000002</v>
      </c>
      <c r="F13" s="124">
        <v>0.40200000000000002</v>
      </c>
      <c r="G13" s="121">
        <v>55739152.416000001</v>
      </c>
      <c r="H13" s="121">
        <v>13865460.800000001</v>
      </c>
      <c r="I13" s="121">
        <v>69049994.783999994</v>
      </c>
    </row>
    <row r="14" spans="1:9">
      <c r="A14" s="120" t="s">
        <v>76</v>
      </c>
      <c r="B14" s="121">
        <v>109600726</v>
      </c>
      <c r="C14" s="121">
        <v>21920145.200000003</v>
      </c>
      <c r="D14" s="122">
        <v>87680580.800000012</v>
      </c>
      <c r="E14" s="123">
        <v>0.40500000000000003</v>
      </c>
      <c r="F14" s="124">
        <v>0.40500000000000003</v>
      </c>
      <c r="G14" s="121">
        <v>35510635.224000007</v>
      </c>
      <c r="H14" s="121">
        <v>8768058.0800000019</v>
      </c>
      <c r="I14" s="121">
        <v>43401887.496000007</v>
      </c>
    </row>
    <row r="15" spans="1:9">
      <c r="A15" s="120" t="s">
        <v>77</v>
      </c>
      <c r="B15" s="121">
        <v>34224953</v>
      </c>
      <c r="C15" s="121">
        <v>6844990.6000000006</v>
      </c>
      <c r="D15" s="122">
        <v>27379962.400000002</v>
      </c>
      <c r="E15" s="123">
        <v>0.39800000000000002</v>
      </c>
      <c r="F15" s="124">
        <v>0.39800000000000002</v>
      </c>
      <c r="G15" s="121">
        <v>10897225.035200002</v>
      </c>
      <c r="H15" s="121">
        <v>2737996.24</v>
      </c>
      <c r="I15" s="121">
        <v>13744741.1248</v>
      </c>
    </row>
    <row r="16" spans="1:9">
      <c r="A16" s="120" t="s">
        <v>78</v>
      </c>
      <c r="B16" s="121">
        <v>40522381</v>
      </c>
      <c r="C16" s="121">
        <v>8104476.2000000002</v>
      </c>
      <c r="D16" s="122">
        <v>32417904.800000001</v>
      </c>
      <c r="E16" s="123">
        <v>0.39100000000000001</v>
      </c>
      <c r="F16" s="124">
        <v>0.39100000000000001</v>
      </c>
      <c r="G16" s="121">
        <v>12675400.776800001</v>
      </c>
      <c r="H16" s="121">
        <v>3241790.4800000004</v>
      </c>
      <c r="I16" s="121">
        <v>16500713.543199997</v>
      </c>
    </row>
    <row r="17" spans="1:9">
      <c r="A17" s="120" t="s">
        <v>79</v>
      </c>
      <c r="B17" s="121">
        <v>131952374</v>
      </c>
      <c r="C17" s="121">
        <v>26390474.800000001</v>
      </c>
      <c r="D17" s="122">
        <v>105561899.2</v>
      </c>
      <c r="E17" s="123">
        <v>0.40400000000000003</v>
      </c>
      <c r="F17" s="124">
        <v>0.40400000000000003</v>
      </c>
      <c r="G17" s="121">
        <v>42647007.276800007</v>
      </c>
      <c r="H17" s="121">
        <v>10556189.920000002</v>
      </c>
      <c r="I17" s="121">
        <v>52358702.003199995</v>
      </c>
    </row>
    <row r="18" spans="1:9">
      <c r="A18" s="120" t="s">
        <v>80</v>
      </c>
      <c r="B18" s="121">
        <v>91118593</v>
      </c>
      <c r="C18" s="121">
        <v>18223718.600000001</v>
      </c>
      <c r="D18" s="122">
        <v>72894874.400000006</v>
      </c>
      <c r="E18" s="123">
        <v>0.4</v>
      </c>
      <c r="F18" s="124">
        <v>0.4</v>
      </c>
      <c r="G18" s="121">
        <v>29157949.760000005</v>
      </c>
      <c r="H18" s="121">
        <v>7289487.4400000013</v>
      </c>
      <c r="I18" s="121">
        <v>36447437.200000003</v>
      </c>
    </row>
    <row r="19" spans="1:9">
      <c r="A19" s="120" t="s">
        <v>81</v>
      </c>
      <c r="B19" s="121">
        <v>60704701</v>
      </c>
      <c r="C19" s="121">
        <v>12140940.200000001</v>
      </c>
      <c r="D19" s="122">
        <v>48563760.800000004</v>
      </c>
      <c r="E19" s="123">
        <v>0.39700000000000002</v>
      </c>
      <c r="F19" s="124">
        <v>0.39700000000000002</v>
      </c>
      <c r="G19" s="121">
        <v>19279813.037600003</v>
      </c>
      <c r="H19" s="121">
        <v>4856376.080000001</v>
      </c>
      <c r="I19" s="121">
        <v>24427571.682399999</v>
      </c>
    </row>
    <row r="20" spans="1:9">
      <c r="A20" s="120" t="s">
        <v>82</v>
      </c>
      <c r="B20" s="121">
        <v>52864974</v>
      </c>
      <c r="C20" s="121">
        <v>10572994.800000001</v>
      </c>
      <c r="D20" s="122">
        <v>42291979.200000003</v>
      </c>
      <c r="E20" s="123">
        <v>0.39900000000000002</v>
      </c>
      <c r="F20" s="124">
        <v>0.39900000000000002</v>
      </c>
      <c r="G20" s="121">
        <v>16874499.700800002</v>
      </c>
      <c r="H20" s="121">
        <v>4229197.9200000009</v>
      </c>
      <c r="I20" s="121">
        <v>21188281.5792</v>
      </c>
    </row>
    <row r="21" spans="1:9">
      <c r="A21" s="120" t="s">
        <v>83</v>
      </c>
      <c r="B21" s="121">
        <v>67186688</v>
      </c>
      <c r="C21" s="121">
        <v>13437337.600000001</v>
      </c>
      <c r="D21" s="122">
        <v>53749350.400000006</v>
      </c>
      <c r="E21" s="123">
        <v>0.40600000000000003</v>
      </c>
      <c r="F21" s="124">
        <v>0.40600000000000003</v>
      </c>
      <c r="G21" s="121">
        <v>21822236.262400005</v>
      </c>
      <c r="H21" s="121">
        <v>5374935.040000001</v>
      </c>
      <c r="I21" s="121">
        <v>26552179.097599998</v>
      </c>
    </row>
    <row r="22" spans="1:9">
      <c r="A22" s="120" t="s">
        <v>84</v>
      </c>
      <c r="B22" s="121">
        <v>106383841</v>
      </c>
      <c r="C22" s="121">
        <v>21276768.200000003</v>
      </c>
      <c r="D22" s="122">
        <v>85107072.800000012</v>
      </c>
      <c r="E22" s="123">
        <v>0.41399999999999998</v>
      </c>
      <c r="F22" s="124">
        <v>0.41399999999999998</v>
      </c>
      <c r="G22" s="121">
        <v>35234328.139200002</v>
      </c>
      <c r="H22" s="121">
        <v>8510707.2800000012</v>
      </c>
      <c r="I22" s="121">
        <v>41362037.380800009</v>
      </c>
    </row>
    <row r="23" spans="1:9">
      <c r="A23" s="120" t="s">
        <v>85</v>
      </c>
      <c r="B23" s="121">
        <v>35864400</v>
      </c>
      <c r="C23" s="121">
        <v>7172880</v>
      </c>
      <c r="D23" s="122">
        <v>28691520</v>
      </c>
      <c r="E23" s="123">
        <v>0.40400000000000003</v>
      </c>
      <c r="F23" s="124">
        <v>0.40400000000000003</v>
      </c>
      <c r="G23" s="121">
        <v>11591374.08</v>
      </c>
      <c r="H23" s="121">
        <v>2869152</v>
      </c>
      <c r="I23" s="121">
        <v>14230993.920000002</v>
      </c>
    </row>
    <row r="24" spans="1:9">
      <c r="A24" s="120" t="s">
        <v>86</v>
      </c>
      <c r="B24" s="121">
        <v>68472604</v>
      </c>
      <c r="C24" s="121">
        <v>13694520.800000001</v>
      </c>
      <c r="D24" s="122">
        <v>54778083.200000003</v>
      </c>
      <c r="E24" s="123">
        <v>0.40500000000000003</v>
      </c>
      <c r="F24" s="124">
        <v>0.40500000000000003</v>
      </c>
      <c r="G24" s="121">
        <v>22185123.696000002</v>
      </c>
      <c r="H24" s="121">
        <v>5477808.3200000003</v>
      </c>
      <c r="I24" s="121">
        <v>27115151.184</v>
      </c>
    </row>
    <row r="25" spans="1:9">
      <c r="A25" s="120" t="s">
        <v>87</v>
      </c>
      <c r="B25" s="121">
        <v>73086125</v>
      </c>
      <c r="C25" s="121">
        <v>14617225</v>
      </c>
      <c r="D25" s="122">
        <v>58468900</v>
      </c>
      <c r="E25" s="123">
        <v>0.41299999999999998</v>
      </c>
      <c r="F25" s="124">
        <v>0.41299999999999998</v>
      </c>
      <c r="G25" s="121">
        <v>24147655.699999999</v>
      </c>
      <c r="H25" s="121">
        <v>5846890</v>
      </c>
      <c r="I25" s="121">
        <v>28474354.299999997</v>
      </c>
    </row>
    <row r="26" spans="1:9">
      <c r="A26" s="120" t="s">
        <v>88</v>
      </c>
      <c r="B26" s="121">
        <v>105696321</v>
      </c>
      <c r="C26" s="121">
        <v>21139264.200000003</v>
      </c>
      <c r="D26" s="122">
        <v>84557056.800000012</v>
      </c>
      <c r="E26" s="123">
        <v>0.40400000000000003</v>
      </c>
      <c r="F26" s="124">
        <v>0.40400000000000003</v>
      </c>
      <c r="G26" s="121">
        <v>34161050.947200008</v>
      </c>
      <c r="H26" s="121">
        <v>8455705.6800000016</v>
      </c>
      <c r="I26" s="121">
        <v>41940300.172800004</v>
      </c>
    </row>
    <row r="27" spans="1:9">
      <c r="A27" s="120" t="s">
        <v>89</v>
      </c>
      <c r="B27" s="121">
        <v>74311171</v>
      </c>
      <c r="C27" s="121">
        <v>14862234.200000001</v>
      </c>
      <c r="D27" s="122">
        <v>59448936.800000004</v>
      </c>
      <c r="E27" s="123">
        <v>0.39700000000000002</v>
      </c>
      <c r="F27" s="124">
        <v>0.39700000000000002</v>
      </c>
      <c r="G27" s="121">
        <v>23601227.909600005</v>
      </c>
      <c r="H27" s="121">
        <v>5944893.6800000006</v>
      </c>
      <c r="I27" s="121">
        <v>29902815.2104</v>
      </c>
    </row>
    <row r="28" spans="1:9">
      <c r="A28" s="120" t="s">
        <v>90</v>
      </c>
      <c r="B28" s="121">
        <v>52437019</v>
      </c>
      <c r="C28" s="121">
        <v>10487403.800000001</v>
      </c>
      <c r="D28" s="122">
        <v>41949615.200000003</v>
      </c>
      <c r="E28" s="123">
        <v>0.41199999999999998</v>
      </c>
      <c r="F28" s="124">
        <v>0.41199999999999998</v>
      </c>
      <c r="G28" s="121">
        <v>17283241.462400001</v>
      </c>
      <c r="H28" s="121">
        <v>4194961.5200000005</v>
      </c>
      <c r="I28" s="121">
        <v>20471412.217600003</v>
      </c>
    </row>
    <row r="29" spans="1:9">
      <c r="A29" s="120" t="s">
        <v>91</v>
      </c>
      <c r="B29" s="121">
        <v>75654083</v>
      </c>
      <c r="C29" s="121">
        <v>15130816.600000001</v>
      </c>
      <c r="D29" s="122">
        <v>60523266.400000006</v>
      </c>
      <c r="E29" s="123">
        <v>0.40200000000000002</v>
      </c>
      <c r="F29" s="124">
        <v>0.40200000000000002</v>
      </c>
      <c r="G29" s="121">
        <v>24330353.092800003</v>
      </c>
      <c r="H29" s="121">
        <v>6052326.6400000006</v>
      </c>
      <c r="I29" s="121">
        <v>30140586.667199999</v>
      </c>
    </row>
    <row r="30" spans="1:9">
      <c r="A30" s="120" t="s">
        <v>92</v>
      </c>
      <c r="B30" s="121">
        <v>35622334</v>
      </c>
      <c r="C30" s="121">
        <v>7124466.8000000007</v>
      </c>
      <c r="D30" s="122">
        <v>28497867.200000003</v>
      </c>
      <c r="E30" s="123">
        <v>0.40100000000000002</v>
      </c>
      <c r="F30" s="124">
        <v>0.40099999999999997</v>
      </c>
      <c r="G30" s="121">
        <v>11427644.747200001</v>
      </c>
      <c r="H30" s="121">
        <v>2849786.7200000007</v>
      </c>
      <c r="I30" s="121">
        <v>14220435.732800001</v>
      </c>
    </row>
    <row r="31" spans="1:9">
      <c r="A31" s="120" t="s">
        <v>93</v>
      </c>
      <c r="B31" s="121">
        <v>45721229</v>
      </c>
      <c r="C31" s="121">
        <v>9144245.8000000007</v>
      </c>
      <c r="D31" s="122">
        <v>36576983.200000003</v>
      </c>
      <c r="E31" s="123">
        <v>0.39500000000000002</v>
      </c>
      <c r="F31" s="124">
        <v>0.39500000000000002</v>
      </c>
      <c r="G31" s="121">
        <v>14447908.364000002</v>
      </c>
      <c r="H31" s="121">
        <v>3657698.3200000003</v>
      </c>
      <c r="I31" s="121">
        <v>18471376.516000003</v>
      </c>
    </row>
    <row r="32" spans="1:9">
      <c r="A32" s="120" t="s">
        <v>94</v>
      </c>
      <c r="B32" s="121">
        <v>48103711</v>
      </c>
      <c r="C32" s="121">
        <v>9620742.2000000011</v>
      </c>
      <c r="D32" s="122">
        <v>38482968.800000004</v>
      </c>
      <c r="E32" s="123">
        <v>0.39800000000000002</v>
      </c>
      <c r="F32" s="124">
        <v>0.39800000000000002</v>
      </c>
      <c r="G32" s="121">
        <v>15316221.582400003</v>
      </c>
      <c r="H32" s="121">
        <v>3848296.8800000008</v>
      </c>
      <c r="I32" s="121">
        <v>19318450.3376</v>
      </c>
    </row>
    <row r="33" spans="1:9">
      <c r="A33" s="120" t="s">
        <v>95</v>
      </c>
      <c r="B33" s="121">
        <v>34882819</v>
      </c>
      <c r="C33" s="121">
        <v>6976563.8000000007</v>
      </c>
      <c r="D33" s="122">
        <v>27906255.200000003</v>
      </c>
      <c r="E33" s="123">
        <v>0.39800000000000002</v>
      </c>
      <c r="F33" s="124">
        <v>0.39799999999999996</v>
      </c>
      <c r="G33" s="121">
        <v>11106689.569600001</v>
      </c>
      <c r="H33" s="121">
        <v>2790625.5200000005</v>
      </c>
      <c r="I33" s="121">
        <v>14008940.110400002</v>
      </c>
    </row>
    <row r="34" spans="1:9">
      <c r="A34" s="120" t="s">
        <v>96</v>
      </c>
      <c r="B34" s="121">
        <v>91654709</v>
      </c>
      <c r="C34" s="121">
        <v>18330941.800000001</v>
      </c>
      <c r="D34" s="122">
        <v>73323767.200000003</v>
      </c>
      <c r="E34" s="123">
        <v>0.40600000000000003</v>
      </c>
      <c r="F34" s="124">
        <v>0.40600000000000003</v>
      </c>
      <c r="G34" s="121">
        <v>29769449.483200002</v>
      </c>
      <c r="H34" s="121">
        <v>7332376.7200000007</v>
      </c>
      <c r="I34" s="121">
        <v>36221940.996800005</v>
      </c>
    </row>
    <row r="35" spans="1:9">
      <c r="A35" s="120" t="s">
        <v>97</v>
      </c>
      <c r="B35" s="121">
        <v>43912501</v>
      </c>
      <c r="C35" s="121">
        <v>8782500.2000000011</v>
      </c>
      <c r="D35" s="122">
        <v>35130000.800000004</v>
      </c>
      <c r="E35" s="123">
        <v>0.40899999999999997</v>
      </c>
      <c r="F35" s="124">
        <v>0.40899999999999997</v>
      </c>
      <c r="G35" s="121">
        <v>14368170.327200001</v>
      </c>
      <c r="H35" s="121">
        <v>3513000.0800000005</v>
      </c>
      <c r="I35" s="121">
        <v>17248830.3928</v>
      </c>
    </row>
    <row r="36" spans="1:9">
      <c r="A36" s="120" t="s">
        <v>98</v>
      </c>
      <c r="B36" s="121">
        <v>159021883</v>
      </c>
      <c r="C36" s="121">
        <v>31804376.600000001</v>
      </c>
      <c r="D36" s="122">
        <v>127217506.40000001</v>
      </c>
      <c r="E36" s="123">
        <v>0.41</v>
      </c>
      <c r="F36" s="124">
        <v>0.41</v>
      </c>
      <c r="G36" s="121">
        <v>52159177.623999998</v>
      </c>
      <c r="H36" s="121">
        <v>12721750.640000001</v>
      </c>
      <c r="I36" s="121">
        <v>62336578.136000007</v>
      </c>
    </row>
    <row r="37" spans="1:9">
      <c r="A37" s="120" t="s">
        <v>99</v>
      </c>
      <c r="B37" s="121">
        <v>104706557</v>
      </c>
      <c r="C37" s="121">
        <v>20941311.400000002</v>
      </c>
      <c r="D37" s="122">
        <v>83765245.600000009</v>
      </c>
      <c r="E37" s="123">
        <v>0.40500000000000003</v>
      </c>
      <c r="F37" s="124">
        <v>0.40499999999999997</v>
      </c>
      <c r="G37" s="121">
        <v>33924924.468000002</v>
      </c>
      <c r="H37" s="121">
        <v>8376524.5600000015</v>
      </c>
      <c r="I37" s="121">
        <v>41463796.572000004</v>
      </c>
    </row>
    <row r="38" spans="1:9">
      <c r="A38" s="120" t="s">
        <v>100</v>
      </c>
      <c r="B38" s="121">
        <v>37263122</v>
      </c>
      <c r="C38" s="121">
        <v>7452624.4000000004</v>
      </c>
      <c r="D38" s="122">
        <v>29810497.600000001</v>
      </c>
      <c r="E38" s="123">
        <v>0.39700000000000002</v>
      </c>
      <c r="F38" s="124">
        <v>0.39700000000000002</v>
      </c>
      <c r="G38" s="121">
        <v>11834767.547200002</v>
      </c>
      <c r="H38" s="121">
        <v>2981049.7600000002</v>
      </c>
      <c r="I38" s="121">
        <v>14994680.2928</v>
      </c>
    </row>
    <row r="39" spans="1:9">
      <c r="A39" s="120" t="s">
        <v>101</v>
      </c>
      <c r="B39" s="121">
        <v>124628229</v>
      </c>
      <c r="C39" s="121">
        <v>24925645.800000001</v>
      </c>
      <c r="D39" s="122">
        <v>99702583.200000003</v>
      </c>
      <c r="E39" s="123">
        <v>0.40500000000000003</v>
      </c>
      <c r="F39" s="124">
        <v>0.40500000000000003</v>
      </c>
      <c r="G39" s="121">
        <v>40379546.196000002</v>
      </c>
      <c r="H39" s="121">
        <v>9970258.3200000003</v>
      </c>
      <c r="I39" s="121">
        <v>49352778.684</v>
      </c>
    </row>
    <row r="40" spans="1:9">
      <c r="A40" s="120" t="s">
        <v>102</v>
      </c>
      <c r="B40" s="121">
        <v>64634146</v>
      </c>
      <c r="C40" s="121">
        <v>12926829.200000001</v>
      </c>
      <c r="D40" s="122">
        <v>51707316.800000004</v>
      </c>
      <c r="E40" s="123">
        <v>0.39900000000000002</v>
      </c>
      <c r="F40" s="124">
        <v>0.39900000000000002</v>
      </c>
      <c r="G40" s="121">
        <v>20631219.403200004</v>
      </c>
      <c r="H40" s="121">
        <v>5170731.6800000006</v>
      </c>
      <c r="I40" s="121">
        <v>25905365.716800001</v>
      </c>
    </row>
    <row r="41" spans="1:9">
      <c r="A41" s="120" t="s">
        <v>103</v>
      </c>
      <c r="B41" s="121">
        <v>56932545</v>
      </c>
      <c r="C41" s="121">
        <v>11386509</v>
      </c>
      <c r="D41" s="122">
        <v>45546036</v>
      </c>
      <c r="E41" s="123">
        <v>0.4</v>
      </c>
      <c r="F41" s="124">
        <v>0.4</v>
      </c>
      <c r="G41" s="121">
        <v>18218414.400000002</v>
      </c>
      <c r="H41" s="121">
        <v>4554603.6000000006</v>
      </c>
      <c r="I41" s="121">
        <v>22773017.999999996</v>
      </c>
    </row>
    <row r="42" spans="1:9">
      <c r="A42" s="120" t="s">
        <v>104</v>
      </c>
      <c r="B42" s="121">
        <v>129723107</v>
      </c>
      <c r="C42" s="121">
        <v>25944621.400000002</v>
      </c>
      <c r="D42" s="122">
        <v>103778485.60000001</v>
      </c>
      <c r="E42" s="123">
        <v>0.40300000000000002</v>
      </c>
      <c r="F42" s="124">
        <v>0.40300000000000002</v>
      </c>
      <c r="G42" s="121">
        <v>41822729.696800008</v>
      </c>
      <c r="H42" s="121">
        <v>10377848.560000002</v>
      </c>
      <c r="I42" s="121">
        <v>51577907.343199998</v>
      </c>
    </row>
    <row r="43" spans="1:9">
      <c r="A43" s="120" t="s">
        <v>105</v>
      </c>
      <c r="B43" s="121">
        <v>42612814</v>
      </c>
      <c r="C43" s="121">
        <v>8522562.8000000007</v>
      </c>
      <c r="D43" s="122">
        <v>34090251.200000003</v>
      </c>
      <c r="E43" s="123">
        <v>0.40799999999999997</v>
      </c>
      <c r="F43" s="124">
        <v>0.40799999999999997</v>
      </c>
      <c r="G43" s="121">
        <v>13908822.489600001</v>
      </c>
      <c r="H43" s="121">
        <v>3409025.1200000006</v>
      </c>
      <c r="I43" s="121">
        <v>16772403.590399999</v>
      </c>
    </row>
    <row r="44" spans="1:9">
      <c r="A44" s="120" t="s">
        <v>106</v>
      </c>
      <c r="B44" s="121">
        <v>31943127</v>
      </c>
      <c r="C44" s="121">
        <v>6388625.4000000004</v>
      </c>
      <c r="D44" s="122">
        <v>25554501.600000001</v>
      </c>
      <c r="E44" s="123">
        <v>0.40400000000000003</v>
      </c>
      <c r="F44" s="124">
        <v>0.40400000000000003</v>
      </c>
      <c r="G44" s="121">
        <v>10324018.646400001</v>
      </c>
      <c r="H44" s="121">
        <v>2555450.16</v>
      </c>
      <c r="I44" s="121">
        <v>12675032.7936</v>
      </c>
    </row>
    <row r="45" spans="1:9">
      <c r="A45" s="120" t="s">
        <v>107</v>
      </c>
      <c r="B45" s="121">
        <v>68716961</v>
      </c>
      <c r="C45" s="121">
        <v>13743392.200000001</v>
      </c>
      <c r="D45" s="122">
        <v>54973568.800000004</v>
      </c>
      <c r="E45" s="123">
        <v>0.39900000000000002</v>
      </c>
      <c r="F45" s="124">
        <v>0.39900000000000008</v>
      </c>
      <c r="G45" s="121">
        <v>21934453.951200005</v>
      </c>
      <c r="H45" s="121">
        <v>5497356.8800000008</v>
      </c>
      <c r="I45" s="121">
        <v>27541757.968800001</v>
      </c>
    </row>
    <row r="46" spans="1:9">
      <c r="A46" s="120" t="s">
        <v>108</v>
      </c>
      <c r="B46" s="121">
        <v>34309734</v>
      </c>
      <c r="C46" s="121">
        <v>6861946.8000000007</v>
      </c>
      <c r="D46" s="122">
        <v>27447787.200000003</v>
      </c>
      <c r="E46" s="123">
        <v>0.40200000000000002</v>
      </c>
      <c r="F46" s="124">
        <v>0.40199999999999997</v>
      </c>
      <c r="G46" s="121">
        <v>11034010.454400001</v>
      </c>
      <c r="H46" s="121">
        <v>2744778.7200000007</v>
      </c>
      <c r="I46" s="121">
        <v>13668998.025600001</v>
      </c>
    </row>
    <row r="47" spans="1:9">
      <c r="A47" s="120" t="s">
        <v>109</v>
      </c>
      <c r="B47" s="121">
        <v>83708676</v>
      </c>
      <c r="C47" s="121">
        <v>16741735.200000001</v>
      </c>
      <c r="D47" s="122">
        <v>66966940.800000004</v>
      </c>
      <c r="E47" s="123">
        <v>0.4</v>
      </c>
      <c r="F47" s="124">
        <v>0.4</v>
      </c>
      <c r="G47" s="121">
        <v>26786776.320000004</v>
      </c>
      <c r="H47" s="121">
        <v>6696694.080000001</v>
      </c>
      <c r="I47" s="121">
        <v>33483470.400000002</v>
      </c>
    </row>
    <row r="48" spans="1:9">
      <c r="A48" s="120" t="s">
        <v>110</v>
      </c>
      <c r="B48" s="121">
        <v>345324713</v>
      </c>
      <c r="C48" s="121">
        <v>69064942.600000009</v>
      </c>
      <c r="D48" s="122">
        <v>276259770.40000004</v>
      </c>
      <c r="E48" s="123">
        <v>0.38700000000000001</v>
      </c>
      <c r="F48" s="124">
        <v>0.38700000000000001</v>
      </c>
      <c r="G48" s="121">
        <v>106912531.14480002</v>
      </c>
      <c r="H48" s="121">
        <v>27625977.040000007</v>
      </c>
      <c r="I48" s="121">
        <v>141721262.21520001</v>
      </c>
    </row>
    <row r="49" spans="1:9">
      <c r="A49" s="120" t="s">
        <v>111</v>
      </c>
      <c r="B49" s="121">
        <v>50595872</v>
      </c>
      <c r="C49" s="121">
        <v>10119174.4</v>
      </c>
      <c r="D49" s="122">
        <v>40476697.600000001</v>
      </c>
      <c r="E49" s="123">
        <v>0.39400000000000002</v>
      </c>
      <c r="F49" s="124">
        <v>0.39400000000000002</v>
      </c>
      <c r="G49" s="121">
        <v>15947818.854400001</v>
      </c>
      <c r="H49" s="121">
        <v>4047669.7600000002</v>
      </c>
      <c r="I49" s="121">
        <v>20481208.985599998</v>
      </c>
    </row>
    <row r="50" spans="1:9">
      <c r="A50" s="120" t="s">
        <v>112</v>
      </c>
      <c r="B50" s="121">
        <v>29303666</v>
      </c>
      <c r="C50" s="121">
        <v>5860733.2000000002</v>
      </c>
      <c r="D50" s="122">
        <v>23442932.800000001</v>
      </c>
      <c r="E50" s="123">
        <v>0.40200000000000002</v>
      </c>
      <c r="F50" s="124">
        <v>0.40200000000000002</v>
      </c>
      <c r="G50" s="121">
        <v>9424058.9856000002</v>
      </c>
      <c r="H50" s="121">
        <v>2344293.2800000003</v>
      </c>
      <c r="I50" s="121">
        <v>11674580.534400001</v>
      </c>
    </row>
    <row r="51" spans="1:9">
      <c r="A51" s="120" t="s">
        <v>113</v>
      </c>
      <c r="B51" s="121">
        <v>94347205</v>
      </c>
      <c r="C51" s="121">
        <v>18869441</v>
      </c>
      <c r="D51" s="122">
        <v>75477764</v>
      </c>
      <c r="E51" s="123">
        <v>0.39900000000000002</v>
      </c>
      <c r="F51" s="124">
        <v>0.39900000000000002</v>
      </c>
      <c r="G51" s="121">
        <v>30115627.836000003</v>
      </c>
      <c r="H51" s="121">
        <v>7547776.4000000004</v>
      </c>
      <c r="I51" s="121">
        <v>37814359.763999999</v>
      </c>
    </row>
    <row r="52" spans="1:9">
      <c r="A52" s="120" t="s">
        <v>114</v>
      </c>
      <c r="B52" s="121">
        <v>83102750</v>
      </c>
      <c r="C52" s="121">
        <v>16620550</v>
      </c>
      <c r="D52" s="122">
        <v>66482200</v>
      </c>
      <c r="E52" s="123">
        <v>0.40799999999999997</v>
      </c>
      <c r="F52" s="124">
        <v>0.40799999999999997</v>
      </c>
      <c r="G52" s="121">
        <v>27124737.599999998</v>
      </c>
      <c r="H52" s="121">
        <v>6648220</v>
      </c>
      <c r="I52" s="121">
        <v>32709242.400000006</v>
      </c>
    </row>
    <row r="53" spans="1:9">
      <c r="A53" s="120" t="s">
        <v>115</v>
      </c>
      <c r="B53" s="121">
        <v>44188177</v>
      </c>
      <c r="C53" s="121">
        <v>8837635.4000000004</v>
      </c>
      <c r="D53" s="122">
        <v>35350541.600000001</v>
      </c>
      <c r="E53" s="123">
        <v>0.39400000000000002</v>
      </c>
      <c r="F53" s="124">
        <v>0.39400000000000002</v>
      </c>
      <c r="G53" s="121">
        <v>13928113.390400002</v>
      </c>
      <c r="H53" s="121">
        <v>3535054.16</v>
      </c>
      <c r="I53" s="121">
        <v>17887374.049600001</v>
      </c>
    </row>
    <row r="54" spans="1:9">
      <c r="A54" s="120" t="s">
        <v>116</v>
      </c>
      <c r="B54" s="121">
        <v>74756512</v>
      </c>
      <c r="C54" s="121">
        <v>14951302.4</v>
      </c>
      <c r="D54" s="122">
        <v>59805209.600000001</v>
      </c>
      <c r="E54" s="123">
        <v>0.39300000000000002</v>
      </c>
      <c r="F54" s="124">
        <v>0.39300000000000002</v>
      </c>
      <c r="G54" s="121">
        <v>23503447.3728</v>
      </c>
      <c r="H54" s="121">
        <v>5980520.9600000009</v>
      </c>
      <c r="I54" s="121">
        <v>30321241.267200001</v>
      </c>
    </row>
    <row r="55" spans="1:9">
      <c r="A55" s="120" t="s">
        <v>117</v>
      </c>
      <c r="B55" s="121">
        <v>34616394</v>
      </c>
      <c r="C55" s="121">
        <v>6923278.8000000007</v>
      </c>
      <c r="D55" s="122">
        <v>27693115.200000003</v>
      </c>
      <c r="E55" s="123">
        <v>0.41199999999999998</v>
      </c>
      <c r="F55" s="124">
        <v>0.41199999999999998</v>
      </c>
      <c r="G55" s="121">
        <v>11409563.462400001</v>
      </c>
      <c r="H55" s="121">
        <v>2769311.5200000005</v>
      </c>
      <c r="I55" s="121">
        <v>13514240.217600003</v>
      </c>
    </row>
    <row r="56" spans="1:9">
      <c r="A56" s="120" t="s">
        <v>118</v>
      </c>
      <c r="B56" s="121">
        <v>25763325</v>
      </c>
      <c r="C56" s="121">
        <v>5152665</v>
      </c>
      <c r="D56" s="122">
        <v>20610660</v>
      </c>
      <c r="E56" s="123">
        <v>0.39800000000000002</v>
      </c>
      <c r="F56" s="124">
        <v>0.39800000000000002</v>
      </c>
      <c r="G56" s="121">
        <v>8203042.6800000006</v>
      </c>
      <c r="H56" s="121">
        <v>2061066</v>
      </c>
      <c r="I56" s="121">
        <v>10346551.32</v>
      </c>
    </row>
    <row r="57" spans="1:9">
      <c r="A57" s="120" t="s">
        <v>119</v>
      </c>
      <c r="B57" s="121">
        <v>25609197</v>
      </c>
      <c r="C57" s="121">
        <v>5121839.4000000004</v>
      </c>
      <c r="D57" s="122">
        <v>20487357.600000001</v>
      </c>
      <c r="E57" s="123">
        <v>0.41199999999999998</v>
      </c>
      <c r="F57" s="124">
        <v>0.41199999999999998</v>
      </c>
      <c r="G57" s="121">
        <v>8440791.3311999999</v>
      </c>
      <c r="H57" s="121">
        <v>2048735.7600000002</v>
      </c>
      <c r="I57" s="121">
        <v>9997830.5088000018</v>
      </c>
    </row>
    <row r="58" spans="1:9">
      <c r="A58" s="120" t="s">
        <v>120</v>
      </c>
      <c r="B58" s="121">
        <v>25019120</v>
      </c>
      <c r="C58" s="121">
        <v>5003824</v>
      </c>
      <c r="D58" s="122">
        <v>20015296</v>
      </c>
      <c r="E58" s="123">
        <v>0.40100000000000002</v>
      </c>
      <c r="F58" s="124">
        <v>0.40100000000000002</v>
      </c>
      <c r="G58" s="121">
        <v>8026133.6960000005</v>
      </c>
      <c r="H58" s="121">
        <v>2001529.6</v>
      </c>
      <c r="I58" s="121">
        <v>9987632.7039999999</v>
      </c>
    </row>
    <row r="59" spans="1:9">
      <c r="A59" s="120" t="s">
        <v>121</v>
      </c>
      <c r="B59" s="121">
        <v>24934361</v>
      </c>
      <c r="C59" s="121">
        <v>4986872.2</v>
      </c>
      <c r="D59" s="122">
        <v>19947488.800000001</v>
      </c>
      <c r="E59" s="123">
        <v>0.40699999999999997</v>
      </c>
      <c r="F59" s="124">
        <v>0.40699999999999997</v>
      </c>
      <c r="G59" s="121">
        <v>8118627.9415999996</v>
      </c>
      <c r="H59" s="121">
        <v>1994748.8800000001</v>
      </c>
      <c r="I59" s="121">
        <v>9834111.9784000013</v>
      </c>
    </row>
    <row r="60" spans="1:9">
      <c r="A60" s="117"/>
    </row>
    <row r="61" spans="1:9">
      <c r="A61" s="2"/>
    </row>
    <row r="62" spans="1:9">
      <c r="A62" s="2"/>
      <c r="B62" s="3"/>
      <c r="C62" s="3"/>
      <c r="D62" s="2"/>
      <c r="E62" s="2"/>
      <c r="F62" s="3"/>
      <c r="G62" s="2"/>
    </row>
  </sheetData>
  <sheetProtection sheet="1" objects="1" scenarios="1"/>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07CC-C195-4E0E-A971-0CE97DB96AF3}">
  <sheetPr codeName="Sheet3"/>
  <dimension ref="A1:K61"/>
  <sheetViews>
    <sheetView showGridLines="0" workbookViewId="0">
      <selection activeCell="M19" sqref="M19"/>
    </sheetView>
  </sheetViews>
  <sheetFormatPr defaultRowHeight="14.45"/>
  <cols>
    <col min="1" max="1" width="17.5703125" customWidth="1"/>
    <col min="2" max="2" width="17.85546875" customWidth="1"/>
    <col min="3" max="3" width="21.140625" customWidth="1"/>
    <col min="4" max="4" width="14.85546875" customWidth="1"/>
    <col min="5" max="5" width="15.85546875" customWidth="1"/>
    <col min="6" max="6" width="17.5703125" customWidth="1"/>
    <col min="7" max="8" width="13.140625" customWidth="1"/>
    <col min="9" max="9" width="14.5703125" customWidth="1"/>
    <col min="10" max="12" width="11" customWidth="1"/>
  </cols>
  <sheetData>
    <row r="1" spans="1:11" ht="35.450000000000003" customHeight="1">
      <c r="A1" s="160" t="s">
        <v>122</v>
      </c>
      <c r="B1" s="160"/>
      <c r="C1" s="160"/>
      <c r="D1" s="160"/>
      <c r="E1" s="160"/>
      <c r="F1" s="160"/>
      <c r="G1" s="160"/>
      <c r="H1" s="160"/>
      <c r="I1" s="160"/>
    </row>
    <row r="2" spans="1:11" ht="57" customHeight="1">
      <c r="A2" s="125" t="s">
        <v>57</v>
      </c>
      <c r="B2" s="125" t="s">
        <v>123</v>
      </c>
      <c r="C2" s="125" t="s">
        <v>124</v>
      </c>
      <c r="D2" s="125" t="s">
        <v>60</v>
      </c>
      <c r="E2" s="125" t="s">
        <v>61</v>
      </c>
      <c r="F2" s="125" t="s">
        <v>62</v>
      </c>
      <c r="G2" s="125" t="s">
        <v>63</v>
      </c>
      <c r="H2" s="125" t="s">
        <v>64</v>
      </c>
      <c r="I2" s="125" t="s">
        <v>125</v>
      </c>
    </row>
    <row r="3" spans="1:11" ht="29.45" hidden="1" customHeight="1">
      <c r="A3" s="126" t="s">
        <v>1</v>
      </c>
      <c r="B3" s="127"/>
      <c r="C3" s="127"/>
      <c r="D3" s="127"/>
      <c r="E3" s="127"/>
      <c r="F3" s="127"/>
      <c r="G3" s="127"/>
      <c r="H3" s="127"/>
      <c r="I3" s="127"/>
    </row>
    <row r="4" spans="1:11">
      <c r="A4" s="120" t="s">
        <v>66</v>
      </c>
      <c r="B4" s="121">
        <v>72607220</v>
      </c>
      <c r="C4" s="121">
        <v>14521444</v>
      </c>
      <c r="D4" s="121">
        <v>58085776</v>
      </c>
      <c r="E4" s="123">
        <v>0.41</v>
      </c>
      <c r="F4" s="123">
        <v>0.41</v>
      </c>
      <c r="G4" s="121">
        <v>23815168.16</v>
      </c>
      <c r="H4" s="121">
        <v>5808577.6000000006</v>
      </c>
      <c r="I4" s="121">
        <v>28462030.240000002</v>
      </c>
    </row>
    <row r="5" spans="1:11">
      <c r="A5" s="120" t="s">
        <v>67</v>
      </c>
      <c r="B5" s="121">
        <v>37150940</v>
      </c>
      <c r="C5" s="121">
        <v>7430188</v>
      </c>
      <c r="D5" s="121">
        <v>29720752</v>
      </c>
      <c r="E5" s="123">
        <v>0.39100000000000001</v>
      </c>
      <c r="F5" s="123">
        <v>0.39100000000000001</v>
      </c>
      <c r="G5" s="121">
        <v>11620814.032</v>
      </c>
      <c r="H5" s="121">
        <v>2972075.2</v>
      </c>
      <c r="I5" s="121">
        <v>15127862.768000003</v>
      </c>
    </row>
    <row r="6" spans="1:11">
      <c r="A6" s="120" t="s">
        <v>68</v>
      </c>
      <c r="B6" s="121">
        <v>76421080</v>
      </c>
      <c r="C6" s="121">
        <v>15284216</v>
      </c>
      <c r="D6" s="121">
        <v>61136864</v>
      </c>
      <c r="E6" s="123">
        <v>0.39700000000000002</v>
      </c>
      <c r="F6" s="123">
        <v>0.39700000000000002</v>
      </c>
      <c r="G6" s="121">
        <v>24271335.008000001</v>
      </c>
      <c r="H6" s="121">
        <v>6113686.4000000004</v>
      </c>
      <c r="I6" s="121">
        <v>30751842.592</v>
      </c>
    </row>
    <row r="7" spans="1:11">
      <c r="A7" s="120" t="s">
        <v>69</v>
      </c>
      <c r="B7" s="121">
        <v>52433010</v>
      </c>
      <c r="C7" s="121">
        <v>10486602</v>
      </c>
      <c r="D7" s="121">
        <v>41946408</v>
      </c>
      <c r="E7" s="123">
        <v>0.40500000000000003</v>
      </c>
      <c r="F7" s="123">
        <v>0.40500000000000003</v>
      </c>
      <c r="G7" s="121">
        <v>16988295.240000002</v>
      </c>
      <c r="H7" s="121">
        <v>4194640.8</v>
      </c>
      <c r="I7" s="121">
        <v>20763471.959999997</v>
      </c>
    </row>
    <row r="8" spans="1:11">
      <c r="A8" s="120" t="s">
        <v>70</v>
      </c>
      <c r="B8" s="121">
        <v>290252580</v>
      </c>
      <c r="C8" s="121">
        <v>58050516</v>
      </c>
      <c r="D8" s="121">
        <v>232202064</v>
      </c>
      <c r="E8" s="123">
        <v>0.40699999999999997</v>
      </c>
      <c r="F8" s="123">
        <v>0.40699999999999997</v>
      </c>
      <c r="G8" s="121">
        <v>94506240.047999993</v>
      </c>
      <c r="H8" s="121">
        <v>23220206.400000002</v>
      </c>
      <c r="I8" s="121">
        <v>114475617.55200002</v>
      </c>
    </row>
    <row r="9" spans="1:11">
      <c r="A9" s="120" t="s">
        <v>71</v>
      </c>
      <c r="B9" s="121">
        <v>69985890</v>
      </c>
      <c r="C9" s="121">
        <v>13997178</v>
      </c>
      <c r="D9" s="121">
        <v>55988712</v>
      </c>
      <c r="E9" s="123">
        <v>0.39600000000000002</v>
      </c>
      <c r="F9" s="123">
        <v>0.39600000000000002</v>
      </c>
      <c r="G9" s="121">
        <v>22171529.952</v>
      </c>
      <c r="H9" s="121">
        <v>5598871.2000000002</v>
      </c>
      <c r="I9" s="121">
        <v>28218310.848000001</v>
      </c>
    </row>
    <row r="10" spans="1:11">
      <c r="A10" s="120" t="s">
        <v>72</v>
      </c>
      <c r="B10" s="121">
        <v>49541390</v>
      </c>
      <c r="C10" s="121">
        <v>9908278</v>
      </c>
      <c r="D10" s="121">
        <v>39633112</v>
      </c>
      <c r="E10" s="123">
        <v>0.40799999999999997</v>
      </c>
      <c r="F10" s="123">
        <v>0.40799999999999997</v>
      </c>
      <c r="G10" s="121">
        <v>16170309.695999999</v>
      </c>
      <c r="H10" s="121">
        <v>3963311.2</v>
      </c>
      <c r="I10" s="121">
        <v>19499491.104000002</v>
      </c>
    </row>
    <row r="11" spans="1:11">
      <c r="A11" s="120" t="s">
        <v>73</v>
      </c>
      <c r="B11" s="121">
        <v>32837400</v>
      </c>
      <c r="C11" s="121">
        <v>6567480</v>
      </c>
      <c r="D11" s="121">
        <v>26269920</v>
      </c>
      <c r="E11" s="123">
        <v>0.39800000000000002</v>
      </c>
      <c r="F11" s="123">
        <v>0.39800000000000002</v>
      </c>
      <c r="G11" s="121">
        <v>10455428.16</v>
      </c>
      <c r="H11" s="121">
        <v>2626992</v>
      </c>
      <c r="I11" s="121">
        <v>13187499.84</v>
      </c>
    </row>
    <row r="12" spans="1:11">
      <c r="A12" s="120" t="s">
        <v>74</v>
      </c>
      <c r="B12" s="121">
        <v>29635400</v>
      </c>
      <c r="C12" s="121">
        <v>5927080</v>
      </c>
      <c r="D12" s="121">
        <v>23708320</v>
      </c>
      <c r="E12" s="123">
        <v>0.41399999999999998</v>
      </c>
      <c r="F12" s="123">
        <v>0.41399999999999992</v>
      </c>
      <c r="G12" s="121">
        <v>9815244.4799999986</v>
      </c>
      <c r="H12" s="121">
        <v>2370832</v>
      </c>
      <c r="I12" s="121">
        <v>11522243.520000001</v>
      </c>
      <c r="K12" s="49"/>
    </row>
    <row r="13" spans="1:11">
      <c r="A13" s="120" t="s">
        <v>75</v>
      </c>
      <c r="B13" s="121">
        <v>172657670</v>
      </c>
      <c r="C13" s="121">
        <v>34531534</v>
      </c>
      <c r="D13" s="121">
        <v>138126136</v>
      </c>
      <c r="E13" s="123">
        <v>0.40200000000000002</v>
      </c>
      <c r="F13" s="123">
        <v>0.40200000000000002</v>
      </c>
      <c r="G13" s="121">
        <v>55526706.672000006</v>
      </c>
      <c r="H13" s="121">
        <v>13812613.600000001</v>
      </c>
      <c r="I13" s="121">
        <v>68786815.727999985</v>
      </c>
    </row>
    <row r="14" spans="1:11">
      <c r="A14" s="120" t="s">
        <v>76</v>
      </c>
      <c r="B14" s="121">
        <v>109178020</v>
      </c>
      <c r="C14" s="121">
        <v>21835604</v>
      </c>
      <c r="D14" s="121">
        <v>87342416</v>
      </c>
      <c r="E14" s="123">
        <v>0.40500000000000003</v>
      </c>
      <c r="F14" s="123">
        <v>0.40500000000000003</v>
      </c>
      <c r="G14" s="121">
        <v>35373678.480000004</v>
      </c>
      <c r="H14" s="121">
        <v>8734241.5999999996</v>
      </c>
      <c r="I14" s="121">
        <v>43234495.919999994</v>
      </c>
    </row>
    <row r="15" spans="1:11">
      <c r="A15" s="120" t="s">
        <v>77</v>
      </c>
      <c r="B15" s="121">
        <v>34093900</v>
      </c>
      <c r="C15" s="121">
        <v>6818780</v>
      </c>
      <c r="D15" s="121">
        <v>27275120</v>
      </c>
      <c r="E15" s="123">
        <v>0.39800000000000002</v>
      </c>
      <c r="F15" s="123">
        <v>0.39799999999999996</v>
      </c>
      <c r="G15" s="121">
        <v>10855497.76</v>
      </c>
      <c r="H15" s="121">
        <v>2727512</v>
      </c>
      <c r="I15" s="121">
        <v>13692110.24</v>
      </c>
    </row>
    <row r="16" spans="1:11">
      <c r="A16" s="120" t="s">
        <v>78</v>
      </c>
      <c r="B16" s="121">
        <v>40367910</v>
      </c>
      <c r="C16" s="121">
        <v>8073582</v>
      </c>
      <c r="D16" s="121">
        <v>32294328</v>
      </c>
      <c r="E16" s="123">
        <v>0.39100000000000001</v>
      </c>
      <c r="F16" s="123">
        <v>0.39100000000000001</v>
      </c>
      <c r="G16" s="121">
        <v>12627082.248</v>
      </c>
      <c r="H16" s="121">
        <v>3229432.8000000003</v>
      </c>
      <c r="I16" s="121">
        <v>16437812.952</v>
      </c>
    </row>
    <row r="17" spans="1:9">
      <c r="A17" s="120" t="s">
        <v>79</v>
      </c>
      <c r="B17" s="121">
        <v>131452470</v>
      </c>
      <c r="C17" s="121">
        <v>26290494</v>
      </c>
      <c r="D17" s="121">
        <v>105161976</v>
      </c>
      <c r="E17" s="123">
        <v>0.40400000000000003</v>
      </c>
      <c r="F17" s="123">
        <v>0.40400000000000003</v>
      </c>
      <c r="G17" s="121">
        <v>42485438.304000005</v>
      </c>
      <c r="H17" s="121">
        <v>10516197.600000001</v>
      </c>
      <c r="I17" s="121">
        <v>52160340.095999993</v>
      </c>
    </row>
    <row r="18" spans="1:9">
      <c r="A18" s="120" t="s">
        <v>80</v>
      </c>
      <c r="B18" s="121">
        <v>90772430</v>
      </c>
      <c r="C18" s="121">
        <v>18154486</v>
      </c>
      <c r="D18" s="121">
        <v>72617944</v>
      </c>
      <c r="E18" s="123">
        <v>0.4</v>
      </c>
      <c r="F18" s="123">
        <v>0.4</v>
      </c>
      <c r="G18" s="121">
        <v>29047177.600000001</v>
      </c>
      <c r="H18" s="121">
        <v>7261794.4000000004</v>
      </c>
      <c r="I18" s="121">
        <v>36308972</v>
      </c>
    </row>
    <row r="19" spans="1:9">
      <c r="A19" s="120" t="s">
        <v>81</v>
      </c>
      <c r="B19" s="121">
        <v>60473810</v>
      </c>
      <c r="C19" s="121">
        <v>12094762</v>
      </c>
      <c r="D19" s="121">
        <v>48379048</v>
      </c>
      <c r="E19" s="123">
        <v>0.39700000000000002</v>
      </c>
      <c r="F19" s="123">
        <v>0.39700000000000002</v>
      </c>
      <c r="G19" s="121">
        <v>19206482.056000002</v>
      </c>
      <c r="H19" s="121">
        <v>4837904.8</v>
      </c>
      <c r="I19" s="121">
        <v>24334661.143999998</v>
      </c>
    </row>
    <row r="20" spans="1:9">
      <c r="A20" s="120" t="s">
        <v>82</v>
      </c>
      <c r="B20" s="121">
        <v>52663910</v>
      </c>
      <c r="C20" s="121">
        <v>10532782</v>
      </c>
      <c r="D20" s="121">
        <v>42131128</v>
      </c>
      <c r="E20" s="123">
        <v>0.39900000000000002</v>
      </c>
      <c r="F20" s="123">
        <v>0.39900000000000002</v>
      </c>
      <c r="G20" s="121">
        <v>16810320.072000001</v>
      </c>
      <c r="H20" s="121">
        <v>4213112.8</v>
      </c>
      <c r="I20" s="121">
        <v>21107695.127999999</v>
      </c>
    </row>
    <row r="21" spans="1:9">
      <c r="A21" s="120" t="s">
        <v>83</v>
      </c>
      <c r="B21" s="121">
        <v>66927750</v>
      </c>
      <c r="C21" s="121">
        <v>13385550</v>
      </c>
      <c r="D21" s="121">
        <v>53542200</v>
      </c>
      <c r="E21" s="123">
        <v>0.40600000000000003</v>
      </c>
      <c r="F21" s="123">
        <v>0.40600000000000008</v>
      </c>
      <c r="G21" s="121">
        <v>21738133.200000003</v>
      </c>
      <c r="H21" s="121">
        <v>5354220</v>
      </c>
      <c r="I21" s="121">
        <v>26449846.799999997</v>
      </c>
    </row>
    <row r="22" spans="1:9">
      <c r="A22" s="120" t="s">
        <v>84</v>
      </c>
      <c r="B22" s="121">
        <v>105972960</v>
      </c>
      <c r="C22" s="121">
        <v>21194592</v>
      </c>
      <c r="D22" s="121">
        <v>84778368</v>
      </c>
      <c r="E22" s="123">
        <v>0.41399999999999998</v>
      </c>
      <c r="F22" s="123">
        <v>0.41399999999999998</v>
      </c>
      <c r="G22" s="121">
        <v>35098244.351999998</v>
      </c>
      <c r="H22" s="121">
        <v>8477836.8000000007</v>
      </c>
      <c r="I22" s="121">
        <v>41202286.848000005</v>
      </c>
    </row>
    <row r="23" spans="1:9">
      <c r="A23" s="120" t="s">
        <v>85</v>
      </c>
      <c r="B23" s="121">
        <v>35728050</v>
      </c>
      <c r="C23" s="121">
        <v>7145610</v>
      </c>
      <c r="D23" s="121">
        <v>28582440</v>
      </c>
      <c r="E23" s="123">
        <v>0.40400000000000003</v>
      </c>
      <c r="F23" s="123">
        <v>0.40400000000000008</v>
      </c>
      <c r="G23" s="121">
        <v>11547305.760000002</v>
      </c>
      <c r="H23" s="121">
        <v>2858244</v>
      </c>
      <c r="I23" s="121">
        <v>14176890.239999998</v>
      </c>
    </row>
    <row r="24" spans="1:9">
      <c r="A24" s="120" t="s">
        <v>86</v>
      </c>
      <c r="B24" s="121">
        <v>68212540</v>
      </c>
      <c r="C24" s="121">
        <v>13642508</v>
      </c>
      <c r="D24" s="121">
        <v>54570032</v>
      </c>
      <c r="E24" s="123">
        <v>0.40500000000000003</v>
      </c>
      <c r="F24" s="123">
        <v>0.40500000000000003</v>
      </c>
      <c r="G24" s="121">
        <v>22100862.960000001</v>
      </c>
      <c r="H24" s="121">
        <v>5457003.2000000002</v>
      </c>
      <c r="I24" s="121">
        <v>27012165.84</v>
      </c>
    </row>
    <row r="25" spans="1:9">
      <c r="A25" s="120" t="s">
        <v>87</v>
      </c>
      <c r="B25" s="121">
        <v>72809130</v>
      </c>
      <c r="C25" s="121">
        <v>14561826</v>
      </c>
      <c r="D25" s="121">
        <v>58247304</v>
      </c>
      <c r="E25" s="123">
        <v>0.41299999999999998</v>
      </c>
      <c r="F25" s="123">
        <v>0.41299999999999998</v>
      </c>
      <c r="G25" s="121">
        <v>24056136.551999997</v>
      </c>
      <c r="H25" s="121">
        <v>5824730.4000000004</v>
      </c>
      <c r="I25" s="121">
        <v>28366437.048</v>
      </c>
    </row>
    <row r="26" spans="1:9">
      <c r="A26" s="120" t="s">
        <v>88</v>
      </c>
      <c r="B26" s="121">
        <v>105291160</v>
      </c>
      <c r="C26" s="121">
        <v>21058232</v>
      </c>
      <c r="D26" s="121">
        <v>84232928</v>
      </c>
      <c r="E26" s="123">
        <v>0.40400000000000003</v>
      </c>
      <c r="F26" s="123">
        <v>0.40400000000000003</v>
      </c>
      <c r="G26" s="121">
        <v>34030102.912</v>
      </c>
      <c r="H26" s="121">
        <v>8423292.8000000007</v>
      </c>
      <c r="I26" s="121">
        <v>41779532.288000003</v>
      </c>
    </row>
    <row r="27" spans="1:9">
      <c r="A27" s="120" t="s">
        <v>89</v>
      </c>
      <c r="B27" s="121">
        <v>74027440</v>
      </c>
      <c r="C27" s="121">
        <v>14805488</v>
      </c>
      <c r="D27" s="121">
        <v>59221952</v>
      </c>
      <c r="E27" s="123">
        <v>0.39700000000000002</v>
      </c>
      <c r="F27" s="123">
        <v>0.39700000000000002</v>
      </c>
      <c r="G27" s="121">
        <v>23511114.944000002</v>
      </c>
      <c r="H27" s="121">
        <v>5922195.2000000002</v>
      </c>
      <c r="I27" s="121">
        <v>29788641.855999995</v>
      </c>
    </row>
    <row r="28" spans="1:9">
      <c r="A28" s="120" t="s">
        <v>90</v>
      </c>
      <c r="B28" s="121">
        <v>52237320</v>
      </c>
      <c r="C28" s="121">
        <v>10447464</v>
      </c>
      <c r="D28" s="121">
        <v>41789856</v>
      </c>
      <c r="E28" s="123">
        <v>0.41199999999999998</v>
      </c>
      <c r="F28" s="123">
        <v>0.41199999999999998</v>
      </c>
      <c r="G28" s="121">
        <v>17217420.671999998</v>
      </c>
      <c r="H28" s="121">
        <v>4178985.6</v>
      </c>
      <c r="I28" s="121">
        <v>20393449.728</v>
      </c>
    </row>
    <row r="29" spans="1:9">
      <c r="A29" s="120" t="s">
        <v>91</v>
      </c>
      <c r="B29" s="121">
        <v>75366640</v>
      </c>
      <c r="C29" s="121">
        <v>15073328</v>
      </c>
      <c r="D29" s="121">
        <v>60293312</v>
      </c>
      <c r="E29" s="123">
        <v>0.40200000000000002</v>
      </c>
      <c r="F29" s="123">
        <v>0.40200000000000002</v>
      </c>
      <c r="G29" s="121">
        <v>24237911.424000002</v>
      </c>
      <c r="H29" s="121">
        <v>6029331.2000000002</v>
      </c>
      <c r="I29" s="121">
        <v>30026069.375999998</v>
      </c>
    </row>
    <row r="30" spans="1:9">
      <c r="A30" s="120" t="s">
        <v>92</v>
      </c>
      <c r="B30" s="121">
        <v>35484830</v>
      </c>
      <c r="C30" s="121">
        <v>7096966</v>
      </c>
      <c r="D30" s="121">
        <v>28387864</v>
      </c>
      <c r="E30" s="123">
        <v>0.40100000000000002</v>
      </c>
      <c r="F30" s="123">
        <v>0.40100000000000008</v>
      </c>
      <c r="G30" s="121">
        <v>11383533.464000002</v>
      </c>
      <c r="H30" s="121">
        <v>2838786.4000000004</v>
      </c>
      <c r="I30" s="121">
        <v>14165544.135999998</v>
      </c>
    </row>
    <row r="31" spans="1:9">
      <c r="A31" s="120" t="s">
        <v>93</v>
      </c>
      <c r="B31" s="121">
        <v>45547120</v>
      </c>
      <c r="C31" s="121">
        <v>9109424</v>
      </c>
      <c r="D31" s="121">
        <v>36437696</v>
      </c>
      <c r="E31" s="123">
        <v>0.39500000000000002</v>
      </c>
      <c r="F31" s="123">
        <v>0.39500000000000002</v>
      </c>
      <c r="G31" s="121">
        <v>14392889.92</v>
      </c>
      <c r="H31" s="121">
        <v>3643769.6</v>
      </c>
      <c r="I31" s="121">
        <v>18401036.479999997</v>
      </c>
    </row>
    <row r="32" spans="1:9">
      <c r="A32" s="120" t="s">
        <v>94</v>
      </c>
      <c r="B32" s="121">
        <v>47920160</v>
      </c>
      <c r="C32" s="121">
        <v>9584032</v>
      </c>
      <c r="D32" s="121">
        <v>38336128</v>
      </c>
      <c r="E32" s="123">
        <v>0.39800000000000002</v>
      </c>
      <c r="F32" s="123">
        <v>0.39800000000000002</v>
      </c>
      <c r="G32" s="121">
        <v>15257778.944</v>
      </c>
      <c r="H32" s="121">
        <v>3833612.8000000003</v>
      </c>
      <c r="I32" s="121">
        <v>19244736.256000001</v>
      </c>
    </row>
    <row r="33" spans="1:9">
      <c r="A33" s="120" t="s">
        <v>95</v>
      </c>
      <c r="B33" s="121">
        <v>34749580</v>
      </c>
      <c r="C33" s="121">
        <v>6949916</v>
      </c>
      <c r="D33" s="121">
        <v>27799664</v>
      </c>
      <c r="E33" s="123">
        <v>0.39800000000000002</v>
      </c>
      <c r="F33" s="123">
        <v>0.39800000000000002</v>
      </c>
      <c r="G33" s="121">
        <v>11064266.272</v>
      </c>
      <c r="H33" s="121">
        <v>2779966.4000000004</v>
      </c>
      <c r="I33" s="121">
        <v>13955431.328</v>
      </c>
    </row>
    <row r="34" spans="1:9">
      <c r="A34" s="120" t="s">
        <v>96</v>
      </c>
      <c r="B34" s="121">
        <v>91307380</v>
      </c>
      <c r="C34" s="121">
        <v>18261476</v>
      </c>
      <c r="D34" s="121">
        <v>73045904</v>
      </c>
      <c r="E34" s="123">
        <v>0.40600000000000003</v>
      </c>
      <c r="F34" s="123">
        <v>0.40600000000000003</v>
      </c>
      <c r="G34" s="121">
        <v>29656637.024</v>
      </c>
      <c r="H34" s="121">
        <v>7304590.4000000004</v>
      </c>
      <c r="I34" s="121">
        <v>36084676.575999998</v>
      </c>
    </row>
    <row r="35" spans="1:9">
      <c r="A35" s="120" t="s">
        <v>97</v>
      </c>
      <c r="B35" s="121">
        <v>43742970</v>
      </c>
      <c r="C35" s="121">
        <v>8748594</v>
      </c>
      <c r="D35" s="121">
        <v>34994376</v>
      </c>
      <c r="E35" s="123">
        <v>0.40899999999999997</v>
      </c>
      <c r="F35" s="123">
        <v>0.40899999999999997</v>
      </c>
      <c r="G35" s="121">
        <v>14312699.784</v>
      </c>
      <c r="H35" s="121">
        <v>3499437.6</v>
      </c>
      <c r="I35" s="121">
        <v>17182238.615999997</v>
      </c>
    </row>
    <row r="36" spans="1:9">
      <c r="A36" s="120" t="s">
        <v>98</v>
      </c>
      <c r="B36" s="121">
        <v>158415850</v>
      </c>
      <c r="C36" s="121">
        <v>31683170</v>
      </c>
      <c r="D36" s="121">
        <v>126732680</v>
      </c>
      <c r="E36" s="123">
        <v>0.41</v>
      </c>
      <c r="F36" s="123">
        <v>0.41</v>
      </c>
      <c r="G36" s="121">
        <v>51960398.799999997</v>
      </c>
      <c r="H36" s="121">
        <v>12673268</v>
      </c>
      <c r="I36" s="121">
        <v>62099013.200000003</v>
      </c>
    </row>
    <row r="37" spans="1:9">
      <c r="A37" s="120" t="s">
        <v>99</v>
      </c>
      <c r="B37" s="121">
        <v>104307840</v>
      </c>
      <c r="C37" s="121">
        <v>20861568</v>
      </c>
      <c r="D37" s="121">
        <v>83446272</v>
      </c>
      <c r="E37" s="123">
        <v>0.40500000000000003</v>
      </c>
      <c r="F37" s="123">
        <v>0.40500000000000003</v>
      </c>
      <c r="G37" s="121">
        <v>33795740.160000004</v>
      </c>
      <c r="H37" s="121">
        <v>8344627.2000000002</v>
      </c>
      <c r="I37" s="121">
        <v>41305904.639999993</v>
      </c>
    </row>
    <row r="38" spans="1:9">
      <c r="A38" s="120" t="s">
        <v>100</v>
      </c>
      <c r="B38" s="121">
        <v>37121060</v>
      </c>
      <c r="C38" s="121">
        <v>7424212</v>
      </c>
      <c r="D38" s="121">
        <v>29696848</v>
      </c>
      <c r="E38" s="123">
        <v>0.39700000000000002</v>
      </c>
      <c r="F38" s="123">
        <v>0.39700000000000002</v>
      </c>
      <c r="G38" s="121">
        <v>11789648.656000001</v>
      </c>
      <c r="H38" s="121">
        <v>2969684.8000000003</v>
      </c>
      <c r="I38" s="121">
        <v>14937514.543999996</v>
      </c>
    </row>
    <row r="39" spans="1:9">
      <c r="A39" s="120" t="s">
        <v>101</v>
      </c>
      <c r="B39" s="121">
        <v>124150970</v>
      </c>
      <c r="C39" s="121">
        <v>24830194</v>
      </c>
      <c r="D39" s="121">
        <v>99320776</v>
      </c>
      <c r="E39" s="123">
        <v>0.40500000000000003</v>
      </c>
      <c r="F39" s="123">
        <v>0.40500000000000003</v>
      </c>
      <c r="G39" s="121">
        <v>40224914.280000001</v>
      </c>
      <c r="H39" s="121">
        <v>9932077.5999999996</v>
      </c>
      <c r="I39" s="121">
        <v>49163784.119999997</v>
      </c>
    </row>
    <row r="40" spans="1:9">
      <c r="A40" s="120" t="s">
        <v>102</v>
      </c>
      <c r="B40" s="121">
        <v>64388040</v>
      </c>
      <c r="C40" s="121">
        <v>12877608</v>
      </c>
      <c r="D40" s="121">
        <v>51510432</v>
      </c>
      <c r="E40" s="123">
        <v>0.39900000000000002</v>
      </c>
      <c r="F40" s="123">
        <v>0.39900000000000002</v>
      </c>
      <c r="G40" s="121">
        <v>20552662.368000001</v>
      </c>
      <c r="H40" s="121">
        <v>5151043.2</v>
      </c>
      <c r="I40" s="121">
        <v>25806726.432</v>
      </c>
    </row>
    <row r="41" spans="1:9">
      <c r="A41" s="120" t="s">
        <v>103</v>
      </c>
      <c r="B41" s="121">
        <v>56714440</v>
      </c>
      <c r="C41" s="121">
        <v>11342888</v>
      </c>
      <c r="D41" s="121">
        <v>45371552</v>
      </c>
      <c r="E41" s="123">
        <v>0.4</v>
      </c>
      <c r="F41" s="123">
        <v>0.4</v>
      </c>
      <c r="G41" s="121">
        <v>18148620.800000001</v>
      </c>
      <c r="H41" s="121">
        <v>4537155.2</v>
      </c>
      <c r="I41" s="121">
        <v>22685776</v>
      </c>
    </row>
    <row r="42" spans="1:9">
      <c r="A42" s="120" t="s">
        <v>104</v>
      </c>
      <c r="B42" s="121">
        <v>129226380</v>
      </c>
      <c r="C42" s="121">
        <v>25845276</v>
      </c>
      <c r="D42" s="121">
        <v>103381104</v>
      </c>
      <c r="E42" s="123">
        <v>0.40300000000000002</v>
      </c>
      <c r="F42" s="123">
        <v>0.40300000000000002</v>
      </c>
      <c r="G42" s="121">
        <v>41662584.912</v>
      </c>
      <c r="H42" s="121">
        <v>10338110.4</v>
      </c>
      <c r="I42" s="121">
        <v>51380408.688000001</v>
      </c>
    </row>
    <row r="43" spans="1:9">
      <c r="A43" s="120" t="s">
        <v>105</v>
      </c>
      <c r="B43" s="121">
        <v>42451090</v>
      </c>
      <c r="C43" s="121">
        <v>8490218</v>
      </c>
      <c r="D43" s="121">
        <v>33960872</v>
      </c>
      <c r="E43" s="123">
        <v>0.40799999999999997</v>
      </c>
      <c r="F43" s="123">
        <v>0.40799999999999997</v>
      </c>
      <c r="G43" s="121">
        <v>13856035.775999999</v>
      </c>
      <c r="H43" s="121">
        <v>3396087.2</v>
      </c>
      <c r="I43" s="121">
        <v>16708749.024</v>
      </c>
    </row>
    <row r="44" spans="1:9">
      <c r="A44" s="120" t="s">
        <v>106</v>
      </c>
      <c r="B44" s="121">
        <v>31820030</v>
      </c>
      <c r="C44" s="121">
        <v>6364006</v>
      </c>
      <c r="D44" s="121">
        <v>25456024</v>
      </c>
      <c r="E44" s="123">
        <v>0.40400000000000003</v>
      </c>
      <c r="F44" s="123">
        <v>0.40400000000000003</v>
      </c>
      <c r="G44" s="121">
        <v>10284233.696</v>
      </c>
      <c r="H44" s="121">
        <v>2545602.4000000004</v>
      </c>
      <c r="I44" s="121">
        <v>12626187.903999999</v>
      </c>
    </row>
    <row r="45" spans="1:9">
      <c r="A45" s="120" t="s">
        <v>107</v>
      </c>
      <c r="B45" s="121">
        <v>68451650</v>
      </c>
      <c r="C45" s="121">
        <v>13690330</v>
      </c>
      <c r="D45" s="121">
        <v>54761320</v>
      </c>
      <c r="E45" s="123">
        <v>0.39900000000000002</v>
      </c>
      <c r="F45" s="123">
        <v>0.39900000000000002</v>
      </c>
      <c r="G45" s="121">
        <v>21849766.68</v>
      </c>
      <c r="H45" s="121">
        <v>5476132</v>
      </c>
      <c r="I45" s="121">
        <v>27435421.32</v>
      </c>
    </row>
    <row r="46" spans="1:9">
      <c r="A46" s="120" t="s">
        <v>108</v>
      </c>
      <c r="B46" s="121">
        <v>34178990</v>
      </c>
      <c r="C46" s="121">
        <v>6835798</v>
      </c>
      <c r="D46" s="121">
        <v>27343192</v>
      </c>
      <c r="E46" s="123">
        <v>0.40200000000000002</v>
      </c>
      <c r="F46" s="123">
        <v>0.40200000000000002</v>
      </c>
      <c r="G46" s="121">
        <v>10991963.184</v>
      </c>
      <c r="H46" s="121">
        <v>2734319.2</v>
      </c>
      <c r="I46" s="121">
        <v>13616909.616</v>
      </c>
    </row>
    <row r="47" spans="1:9">
      <c r="A47" s="120" t="s">
        <v>109</v>
      </c>
      <c r="B47" s="121">
        <v>83390060</v>
      </c>
      <c r="C47" s="121">
        <v>16678012</v>
      </c>
      <c r="D47" s="121">
        <v>66712048</v>
      </c>
      <c r="E47" s="123">
        <v>0.4</v>
      </c>
      <c r="F47" s="123">
        <v>0.4</v>
      </c>
      <c r="G47" s="121">
        <v>26684819.200000003</v>
      </c>
      <c r="H47" s="121">
        <v>6671204.8000000007</v>
      </c>
      <c r="I47" s="121">
        <v>33356023.999999996</v>
      </c>
    </row>
    <row r="48" spans="1:9">
      <c r="A48" s="120" t="s">
        <v>110</v>
      </c>
      <c r="B48" s="121">
        <v>344006590</v>
      </c>
      <c r="C48" s="121">
        <v>68801318</v>
      </c>
      <c r="D48" s="121">
        <v>275205272</v>
      </c>
      <c r="E48" s="123">
        <v>0.38700000000000001</v>
      </c>
      <c r="F48" s="123">
        <v>0.38700000000000001</v>
      </c>
      <c r="G48" s="121">
        <v>106504440.264</v>
      </c>
      <c r="H48" s="121">
        <v>27520527.200000003</v>
      </c>
      <c r="I48" s="121">
        <v>141180304.53600001</v>
      </c>
    </row>
    <row r="49" spans="1:9">
      <c r="A49" s="120" t="s">
        <v>111</v>
      </c>
      <c r="B49" s="121">
        <v>50403030</v>
      </c>
      <c r="C49" s="121">
        <v>10080606</v>
      </c>
      <c r="D49" s="121">
        <v>40322424</v>
      </c>
      <c r="E49" s="123">
        <v>0.39400000000000002</v>
      </c>
      <c r="F49" s="123">
        <v>0.39400000000000002</v>
      </c>
      <c r="G49" s="121">
        <v>15887035.056</v>
      </c>
      <c r="H49" s="121">
        <v>4032242.4000000004</v>
      </c>
      <c r="I49" s="121">
        <v>20403146.544</v>
      </c>
    </row>
    <row r="50" spans="1:9">
      <c r="A50" s="120" t="s">
        <v>112</v>
      </c>
      <c r="B50" s="121">
        <v>29192160</v>
      </c>
      <c r="C50" s="121">
        <v>5838432</v>
      </c>
      <c r="D50" s="121">
        <v>23353728</v>
      </c>
      <c r="E50" s="123">
        <v>0.40200000000000002</v>
      </c>
      <c r="F50" s="123">
        <v>0.40200000000000008</v>
      </c>
      <c r="G50" s="121">
        <v>9388198.6560000014</v>
      </c>
      <c r="H50" s="121">
        <v>2335372.8000000003</v>
      </c>
      <c r="I50" s="121">
        <v>11630156.543999998</v>
      </c>
    </row>
    <row r="51" spans="1:9">
      <c r="A51" s="120" t="s">
        <v>113</v>
      </c>
      <c r="B51" s="121">
        <v>93987430</v>
      </c>
      <c r="C51" s="121">
        <v>18797486</v>
      </c>
      <c r="D51" s="121">
        <v>75189944</v>
      </c>
      <c r="E51" s="123">
        <v>0.39900000000000002</v>
      </c>
      <c r="F51" s="123">
        <v>0.39900000000000002</v>
      </c>
      <c r="G51" s="121">
        <v>30000787.656000003</v>
      </c>
      <c r="H51" s="121">
        <v>7518994.4000000004</v>
      </c>
      <c r="I51" s="121">
        <v>37670161.943999998</v>
      </c>
    </row>
    <row r="52" spans="1:9">
      <c r="A52" s="120" t="s">
        <v>114</v>
      </c>
      <c r="B52" s="121">
        <v>82782050</v>
      </c>
      <c r="C52" s="121">
        <v>16556410</v>
      </c>
      <c r="D52" s="121">
        <v>66225640</v>
      </c>
      <c r="E52" s="123">
        <v>0.40799999999999997</v>
      </c>
      <c r="F52" s="123">
        <v>0.40799999999999997</v>
      </c>
      <c r="G52" s="121">
        <v>27020061.119999997</v>
      </c>
      <c r="H52" s="121">
        <v>6622564</v>
      </c>
      <c r="I52" s="121">
        <v>32583014.880000003</v>
      </c>
    </row>
    <row r="53" spans="1:9">
      <c r="A53" s="120" t="s">
        <v>115</v>
      </c>
      <c r="B53" s="121">
        <v>44017970</v>
      </c>
      <c r="C53" s="121">
        <v>8803594</v>
      </c>
      <c r="D53" s="121">
        <v>35214376</v>
      </c>
      <c r="E53" s="123">
        <v>0.39400000000000002</v>
      </c>
      <c r="F53" s="123">
        <v>0.39400000000000002</v>
      </c>
      <c r="G53" s="121">
        <v>13874464.144000001</v>
      </c>
      <c r="H53" s="121">
        <v>3521437.6</v>
      </c>
      <c r="I53" s="121">
        <v>17818474.255999997</v>
      </c>
    </row>
    <row r="54" spans="1:9">
      <c r="A54" s="120" t="s">
        <v>116</v>
      </c>
      <c r="B54" s="121">
        <v>74470200</v>
      </c>
      <c r="C54" s="121">
        <v>14894040</v>
      </c>
      <c r="D54" s="121">
        <v>59576160</v>
      </c>
      <c r="E54" s="123">
        <v>0.39300000000000002</v>
      </c>
      <c r="F54" s="123">
        <v>0.39300000000000007</v>
      </c>
      <c r="G54" s="121">
        <v>23413430.880000003</v>
      </c>
      <c r="H54" s="121">
        <v>5957616</v>
      </c>
      <c r="I54" s="121">
        <v>30205113.119999997</v>
      </c>
    </row>
    <row r="55" spans="1:9">
      <c r="A55" s="120" t="s">
        <v>117</v>
      </c>
      <c r="B55" s="121">
        <v>34484390</v>
      </c>
      <c r="C55" s="121">
        <v>6896878</v>
      </c>
      <c r="D55" s="121">
        <v>27587512</v>
      </c>
      <c r="E55" s="123">
        <v>0.41199999999999998</v>
      </c>
      <c r="F55" s="123">
        <v>0.41199999999999998</v>
      </c>
      <c r="G55" s="121">
        <v>11366054.944</v>
      </c>
      <c r="H55" s="121">
        <v>2758751.2</v>
      </c>
      <c r="I55" s="121">
        <v>13462705.855999999</v>
      </c>
    </row>
    <row r="56" spans="1:9">
      <c r="A56" s="120" t="s">
        <v>118</v>
      </c>
      <c r="B56" s="121">
        <v>25665110</v>
      </c>
      <c r="C56" s="121">
        <v>5133022</v>
      </c>
      <c r="D56" s="121">
        <v>20532088</v>
      </c>
      <c r="E56" s="123">
        <v>0.39800000000000002</v>
      </c>
      <c r="F56" s="123">
        <v>0.39800000000000002</v>
      </c>
      <c r="G56" s="121">
        <v>8171771.0240000002</v>
      </c>
      <c r="H56" s="121">
        <v>2053208.8</v>
      </c>
      <c r="I56" s="121">
        <v>10307108.175999999</v>
      </c>
    </row>
    <row r="57" spans="1:9">
      <c r="A57" s="120" t="s">
        <v>119</v>
      </c>
      <c r="B57" s="121">
        <v>25511580</v>
      </c>
      <c r="C57" s="121">
        <v>5102316</v>
      </c>
      <c r="D57" s="121">
        <v>20409264</v>
      </c>
      <c r="E57" s="123">
        <v>0.41199999999999998</v>
      </c>
      <c r="F57" s="123">
        <v>0.41199999999999998</v>
      </c>
      <c r="G57" s="121">
        <v>8408616.7679999992</v>
      </c>
      <c r="H57" s="121">
        <v>2040926.4000000001</v>
      </c>
      <c r="I57" s="121">
        <v>9959720.8320000004</v>
      </c>
    </row>
    <row r="58" spans="1:9">
      <c r="A58" s="120" t="s">
        <v>120</v>
      </c>
      <c r="B58" s="121">
        <v>24923740</v>
      </c>
      <c r="C58" s="121">
        <v>4984748</v>
      </c>
      <c r="D58" s="121">
        <v>19938992</v>
      </c>
      <c r="E58" s="123">
        <v>0.40100000000000002</v>
      </c>
      <c r="F58" s="123">
        <v>0.40100000000000002</v>
      </c>
      <c r="G58" s="121">
        <v>7995535.7920000004</v>
      </c>
      <c r="H58" s="121">
        <v>1993899.2000000002</v>
      </c>
      <c r="I58" s="121">
        <v>9949557.0080000013</v>
      </c>
    </row>
    <row r="59" spans="1:9">
      <c r="A59" s="120" t="s">
        <v>121</v>
      </c>
      <c r="B59" s="121">
        <v>24839290</v>
      </c>
      <c r="C59" s="121">
        <v>4967858</v>
      </c>
      <c r="D59" s="121">
        <v>19871432</v>
      </c>
      <c r="E59" s="123">
        <v>0.40699999999999997</v>
      </c>
      <c r="F59" s="123">
        <v>0.40699999999999997</v>
      </c>
      <c r="G59" s="121">
        <v>8087672.8239999991</v>
      </c>
      <c r="H59" s="121">
        <v>1987143.2000000002</v>
      </c>
      <c r="I59" s="121">
        <v>9796615.9759999998</v>
      </c>
    </row>
    <row r="60" spans="1:9">
      <c r="A60" s="1"/>
      <c r="B60" s="6"/>
      <c r="C60" s="6"/>
      <c r="D60" s="6"/>
      <c r="E60" s="7"/>
      <c r="F60" s="7"/>
      <c r="G60" s="6"/>
      <c r="H60" s="6"/>
      <c r="I60" s="6"/>
    </row>
    <row r="61" spans="1:9">
      <c r="A61" s="8"/>
      <c r="B61" s="9"/>
      <c r="C61" s="6"/>
      <c r="D61" s="6"/>
      <c r="E61" s="1"/>
      <c r="F61" s="7"/>
      <c r="G61" s="6"/>
      <c r="H61" s="9"/>
      <c r="I61" s="9"/>
    </row>
  </sheetData>
  <sheetProtection sheet="1" objects="1" scenarios="1"/>
  <mergeCells count="1">
    <mergeCell ref="A1: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C0F8E297A2964A9CA9667B642354F8" ma:contentTypeVersion="15" ma:contentTypeDescription="Create a new document." ma:contentTypeScope="" ma:versionID="9135e2b9813cb62a512265268105bb7a">
  <xsd:schema xmlns:xsd="http://www.w3.org/2001/XMLSchema" xmlns:xs="http://www.w3.org/2001/XMLSchema" xmlns:p="http://schemas.microsoft.com/office/2006/metadata/properties" xmlns:ns2="a14d6d42-f890-4b38-8f54-ddad8b772efc" xmlns:ns3="b25950f5-f48f-465a-99db-f1368b5312f4" targetNamespace="http://schemas.microsoft.com/office/2006/metadata/properties" ma:root="true" ma:fieldsID="fd71c4411a3e45bda8cb612d9be51eb0" ns2:_="" ns3:_="">
    <xsd:import namespace="a14d6d42-f890-4b38-8f54-ddad8b772efc"/>
    <xsd:import namespace="b25950f5-f48f-465a-99db-f1368b5312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6d42-f890-4b38-8f54-ddad8b772e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ed881d-d26c-4741-9679-6ed98211dac1}" ma:internalName="TaxCatchAll" ma:showField="CatchAllData" ma:web="a14d6d42-f890-4b38-8f54-ddad8b772e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950f5-f48f-465a-99db-f1368b5312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337a68-93c6-49d6-9ca4-30409d9056a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a14d6d42-f890-4b38-8f54-ddad8b772efc" xsi:nil="true"/>
    <lcf76f155ced4ddcb4097134ff3c332f xmlns="b25950f5-f48f-465a-99db-f1368b5312f4">
      <Terms xmlns="http://schemas.microsoft.com/office/infopath/2007/PartnerControls"/>
    </lcf76f155ced4ddcb4097134ff3c332f>
    <SharedWithUsers xmlns="a14d6d42-f890-4b38-8f54-ddad8b772efc">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35C63E-AEB3-49EB-BB6A-130D7BD2A635}"/>
</file>

<file path=customXml/itemProps2.xml><?xml version="1.0" encoding="utf-8"?>
<ds:datastoreItem xmlns:ds="http://schemas.openxmlformats.org/officeDocument/2006/customXml" ds:itemID="{910C4CE9-40EF-4077-85EB-B880D2280EA1}"/>
</file>

<file path=customXml/itemProps3.xml><?xml version="1.0" encoding="utf-8"?>
<ds:datastoreItem xmlns:ds="http://schemas.openxmlformats.org/officeDocument/2006/customXml" ds:itemID="{F976BA5E-4681-4532-B105-626FA41396AC}"/>
</file>

<file path=customXml/itemProps4.xml><?xml version="1.0" encoding="utf-8"?>
<ds:datastoreItem xmlns:ds="http://schemas.openxmlformats.org/officeDocument/2006/customXml" ds:itemID="{2A9A0E1A-D63D-440F-BE45-B1A22FF6AA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Jillian Greene</dc:creator>
  <cp:keywords/>
  <dc:description/>
  <cp:lastModifiedBy>Alannah Bell</cp:lastModifiedBy>
  <cp:revision/>
  <dcterms:created xsi:type="dcterms:W3CDTF">2023-10-25T20:51:32Z</dcterms:created>
  <dcterms:modified xsi:type="dcterms:W3CDTF">2025-01-13T20:49:01Z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0x010100F3C0F8E297A2964A9CA9667B642354F8</vt:lpwstr>
  </property>
  <property fmtid="{D5CDD505-2E9C-101B-9397-08002B2CF9AE}" pid="3" name="MediaServiceImageTags">
    <vt:lpwstr/>
  </property>
  <property fmtid="{D5CDD505-2E9C-101B-9397-08002B2CF9AE}" pid="4" name="Order">
    <vt:r8>2082200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